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always"/>
  <mc:AlternateContent xmlns:mc="http://schemas.openxmlformats.org/markup-compatibility/2006">
    <mc:Choice Requires="x15">
      <x15ac:absPath xmlns:x15ac="http://schemas.microsoft.com/office/spreadsheetml/2010/11/ac" url="https://thepropertygrouplimited.sharepoint.com/sites/operations/Property/MHUD-MIN005/717557 - MHUD, Progressive home ownership advice/7. Updated Models/20221005 Update/"/>
    </mc:Choice>
  </mc:AlternateContent>
  <xr:revisionPtr revIDLastSave="178" documentId="8_{F740399F-8C75-4CEB-AD9B-387625B67DC3}" xr6:coauthVersionLast="47" xr6:coauthVersionMax="47" xr10:uidLastSave="{77B9AECD-C21A-4D0B-B5CC-1B22516D4FB5}"/>
  <workbookProtection workbookAlgorithmName="SHA-512" workbookHashValue="Y2Y6M2+UmHMwy557hgpBgNDe18Xszm1+fPUc0N7815J+Z2Vlvl/q1P3zsRks4BLt6bZ+REdNF8xj3Vm5mjCK6Q==" workbookSaltValue="/aw5S6/L+F9dRgzybKpLmQ==" workbookSpinCount="100000" lockStructure="1"/>
  <bookViews>
    <workbookView xWindow="28680" yWindow="-2595" windowWidth="29040" windowHeight="15840" firstSheet="2" activeTab="5" xr2:uid="{7CD9C1A5-C9DE-465D-A157-691B39BFAC5B}"/>
  </bookViews>
  <sheets>
    <sheet name="Landing Page" sheetId="1" r:id="rId1"/>
    <sheet name="AHM - Rent to Buy" sheetId="13" r:id="rId2"/>
    <sheet name="Preliminary Feasibility" sheetId="16" r:id="rId3"/>
    <sheet name="Rental Calculations" sheetId="17" r:id="rId4"/>
    <sheet name="Detailed Feasibility Inputs" sheetId="4" r:id="rId5"/>
    <sheet name="Detailed Feasibility" sheetId="6" r:id="rId6"/>
    <sheet name="Codes" sheetId="14" r:id="rId7"/>
  </sheets>
  <definedNames>
    <definedName name="payment_number" localSheetId="3">#REF!</definedName>
    <definedName name="payment_number">#REF!</definedName>
  </definedNames>
  <calcPr calcId="191028"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7" i="6" l="1"/>
  <c r="H146" i="6"/>
  <c r="G146" i="6"/>
  <c r="H145" i="6"/>
  <c r="I145" i="6"/>
  <c r="J145" i="6"/>
  <c r="K145" i="6"/>
  <c r="L145" i="6"/>
  <c r="M145" i="6"/>
  <c r="N145" i="6"/>
  <c r="O145" i="6"/>
  <c r="P145" i="6"/>
  <c r="Q145" i="6"/>
  <c r="R145" i="6"/>
  <c r="S145" i="6"/>
  <c r="T145" i="6"/>
  <c r="U145" i="6"/>
  <c r="V145" i="6"/>
  <c r="W145" i="6"/>
  <c r="X145" i="6"/>
  <c r="Y145" i="6"/>
  <c r="Z145" i="6"/>
  <c r="AA145" i="6"/>
  <c r="AB145" i="6"/>
  <c r="AC145" i="6"/>
  <c r="AD145" i="6"/>
  <c r="AE145" i="6"/>
  <c r="AF145" i="6"/>
  <c r="AG145" i="6"/>
  <c r="AH145" i="6"/>
  <c r="AI145" i="6"/>
  <c r="AJ145" i="6"/>
  <c r="AK145" i="6"/>
  <c r="AL145" i="6"/>
  <c r="AM145" i="6"/>
  <c r="AN145" i="6"/>
  <c r="AO145" i="6"/>
  <c r="AP145" i="6"/>
  <c r="AQ145" i="6"/>
  <c r="AR145" i="6"/>
  <c r="AS145" i="6"/>
  <c r="AT145" i="6"/>
  <c r="AU145" i="6"/>
  <c r="AV145" i="6"/>
  <c r="AW145" i="6"/>
  <c r="AX145" i="6"/>
  <c r="AY145" i="6"/>
  <c r="AZ145" i="6"/>
  <c r="BA145" i="6"/>
  <c r="BB145" i="6"/>
  <c r="BC145" i="6"/>
  <c r="BD145" i="6"/>
  <c r="BE145" i="6"/>
  <c r="BF145" i="6"/>
  <c r="BG145" i="6"/>
  <c r="BH145" i="6"/>
  <c r="BI145" i="6"/>
  <c r="BJ145" i="6"/>
  <c r="BK145" i="6"/>
  <c r="BL145" i="6"/>
  <c r="BM145" i="6"/>
  <c r="G145" i="6"/>
  <c r="H144" i="6"/>
  <c r="I144" i="6"/>
  <c r="J144" i="6"/>
  <c r="K144" i="6"/>
  <c r="L144" i="6"/>
  <c r="M144" i="6"/>
  <c r="N144" i="6"/>
  <c r="O144" i="6"/>
  <c r="P144" i="6"/>
  <c r="Q144" i="6"/>
  <c r="R144" i="6"/>
  <c r="S144" i="6"/>
  <c r="T144" i="6"/>
  <c r="U144" i="6"/>
  <c r="V144" i="6"/>
  <c r="W144" i="6"/>
  <c r="X144" i="6"/>
  <c r="Y144" i="6"/>
  <c r="Z144" i="6"/>
  <c r="AA144" i="6"/>
  <c r="AB144" i="6"/>
  <c r="AC144" i="6"/>
  <c r="AD144" i="6"/>
  <c r="AE144" i="6"/>
  <c r="AF144" i="6"/>
  <c r="AG144" i="6"/>
  <c r="AH144" i="6"/>
  <c r="AI144" i="6"/>
  <c r="AJ144" i="6"/>
  <c r="AK144" i="6"/>
  <c r="AL144" i="6"/>
  <c r="AM144" i="6"/>
  <c r="AN144" i="6"/>
  <c r="AO144" i="6"/>
  <c r="AP144" i="6"/>
  <c r="AQ144" i="6"/>
  <c r="AR144" i="6"/>
  <c r="AS144" i="6"/>
  <c r="AT144" i="6"/>
  <c r="AU144" i="6"/>
  <c r="AV144" i="6"/>
  <c r="AW144" i="6"/>
  <c r="AX144" i="6"/>
  <c r="AY144" i="6"/>
  <c r="AZ144" i="6"/>
  <c r="BA144" i="6"/>
  <c r="BB144" i="6"/>
  <c r="BC144" i="6"/>
  <c r="BD144" i="6"/>
  <c r="BE144" i="6"/>
  <c r="BF144" i="6"/>
  <c r="BG144" i="6"/>
  <c r="BH144" i="6"/>
  <c r="BI144" i="6"/>
  <c r="BJ144" i="6"/>
  <c r="BK144" i="6"/>
  <c r="BL144" i="6"/>
  <c r="BM144" i="6"/>
  <c r="G144" i="6"/>
  <c r="H143" i="6"/>
  <c r="I143" i="6"/>
  <c r="J143" i="6"/>
  <c r="K143" i="6"/>
  <c r="L143" i="6"/>
  <c r="M143" i="6"/>
  <c r="N143" i="6"/>
  <c r="O143" i="6"/>
  <c r="P143" i="6"/>
  <c r="Q143" i="6"/>
  <c r="R143" i="6"/>
  <c r="S143" i="6"/>
  <c r="T143" i="6"/>
  <c r="U143" i="6"/>
  <c r="V143" i="6"/>
  <c r="W143" i="6"/>
  <c r="X143" i="6"/>
  <c r="Y143" i="6"/>
  <c r="Z143" i="6"/>
  <c r="AA143" i="6"/>
  <c r="AB143" i="6"/>
  <c r="AC143" i="6"/>
  <c r="AD143" i="6"/>
  <c r="AE143" i="6"/>
  <c r="AF143" i="6"/>
  <c r="AG143" i="6"/>
  <c r="AH143" i="6"/>
  <c r="AI143" i="6"/>
  <c r="AJ143" i="6"/>
  <c r="AK143" i="6"/>
  <c r="AL143" i="6"/>
  <c r="AM143" i="6"/>
  <c r="AN143" i="6"/>
  <c r="AO143" i="6"/>
  <c r="AP143" i="6"/>
  <c r="AQ143" i="6"/>
  <c r="AR143" i="6"/>
  <c r="AS143" i="6"/>
  <c r="AT143" i="6"/>
  <c r="AU143" i="6"/>
  <c r="AV143" i="6"/>
  <c r="AW143" i="6"/>
  <c r="AX143" i="6"/>
  <c r="AY143" i="6"/>
  <c r="AZ143" i="6"/>
  <c r="BA143" i="6"/>
  <c r="BB143" i="6"/>
  <c r="BC143" i="6"/>
  <c r="BD143" i="6"/>
  <c r="BE143" i="6"/>
  <c r="BF143" i="6"/>
  <c r="BG143" i="6"/>
  <c r="BH143" i="6"/>
  <c r="BI143" i="6"/>
  <c r="BJ143" i="6"/>
  <c r="BK143" i="6"/>
  <c r="BL143" i="6"/>
  <c r="BM143" i="6"/>
  <c r="G143" i="6"/>
  <c r="H142" i="6"/>
  <c r="I142" i="6"/>
  <c r="J142" i="6"/>
  <c r="K142" i="6"/>
  <c r="L142" i="6"/>
  <c r="M142" i="6"/>
  <c r="N142" i="6"/>
  <c r="O142" i="6"/>
  <c r="P142" i="6"/>
  <c r="Q142" i="6"/>
  <c r="R142" i="6"/>
  <c r="S142" i="6"/>
  <c r="T142" i="6"/>
  <c r="U142" i="6"/>
  <c r="V142" i="6"/>
  <c r="W142" i="6"/>
  <c r="X142" i="6"/>
  <c r="Y142" i="6"/>
  <c r="Z142" i="6"/>
  <c r="AA142" i="6"/>
  <c r="AB142" i="6"/>
  <c r="AC142" i="6"/>
  <c r="AD142" i="6"/>
  <c r="AE142" i="6"/>
  <c r="AF142" i="6"/>
  <c r="AG142" i="6"/>
  <c r="AH142" i="6"/>
  <c r="AI142" i="6"/>
  <c r="AJ142" i="6"/>
  <c r="AK142" i="6"/>
  <c r="AL142" i="6"/>
  <c r="AM142" i="6"/>
  <c r="AN142" i="6"/>
  <c r="AO142" i="6"/>
  <c r="AP142" i="6"/>
  <c r="AQ142" i="6"/>
  <c r="AR142" i="6"/>
  <c r="AS142" i="6"/>
  <c r="AT142" i="6"/>
  <c r="AU142" i="6"/>
  <c r="AV142" i="6"/>
  <c r="AW142" i="6"/>
  <c r="AX142" i="6"/>
  <c r="AY142" i="6"/>
  <c r="AZ142" i="6"/>
  <c r="BA142" i="6"/>
  <c r="BB142" i="6"/>
  <c r="BC142" i="6"/>
  <c r="BD142" i="6"/>
  <c r="BE142" i="6"/>
  <c r="BF142" i="6"/>
  <c r="BG142" i="6"/>
  <c r="BH142" i="6"/>
  <c r="BI142" i="6"/>
  <c r="BJ142" i="6"/>
  <c r="BK142" i="6"/>
  <c r="BL142" i="6"/>
  <c r="BM142" i="6"/>
  <c r="G142" i="6"/>
  <c r="H141" i="6"/>
  <c r="I141" i="6"/>
  <c r="J141" i="6"/>
  <c r="K141" i="6"/>
  <c r="L141" i="6"/>
  <c r="M141" i="6"/>
  <c r="N141" i="6"/>
  <c r="O141" i="6"/>
  <c r="P141" i="6"/>
  <c r="Q141" i="6"/>
  <c r="R141" i="6"/>
  <c r="S141" i="6"/>
  <c r="T141" i="6"/>
  <c r="U141" i="6"/>
  <c r="V141" i="6"/>
  <c r="W141" i="6"/>
  <c r="X141" i="6"/>
  <c r="Y141" i="6"/>
  <c r="Z141" i="6"/>
  <c r="AA141" i="6"/>
  <c r="AB141" i="6"/>
  <c r="AC141" i="6"/>
  <c r="AD141" i="6"/>
  <c r="AE141" i="6"/>
  <c r="AF141" i="6"/>
  <c r="AG141" i="6"/>
  <c r="AH141" i="6"/>
  <c r="AI141" i="6"/>
  <c r="AJ141" i="6"/>
  <c r="AK141" i="6"/>
  <c r="AL141" i="6"/>
  <c r="AM141" i="6"/>
  <c r="AN141" i="6"/>
  <c r="AO141" i="6"/>
  <c r="AP141" i="6"/>
  <c r="AQ141" i="6"/>
  <c r="AR141" i="6"/>
  <c r="AS141" i="6"/>
  <c r="AT141" i="6"/>
  <c r="AU141" i="6"/>
  <c r="AV141" i="6"/>
  <c r="AW141" i="6"/>
  <c r="AX141" i="6"/>
  <c r="AY141" i="6"/>
  <c r="AZ141" i="6"/>
  <c r="BA141" i="6"/>
  <c r="BB141" i="6"/>
  <c r="BC141" i="6"/>
  <c r="BD141" i="6"/>
  <c r="BE141" i="6"/>
  <c r="BF141" i="6"/>
  <c r="BG141" i="6"/>
  <c r="BH141" i="6"/>
  <c r="BI141" i="6"/>
  <c r="BJ141" i="6"/>
  <c r="BK141" i="6"/>
  <c r="BL141" i="6"/>
  <c r="BM141" i="6"/>
  <c r="G141" i="6"/>
  <c r="H140" i="6"/>
  <c r="I140" i="6"/>
  <c r="J140" i="6"/>
  <c r="K140" i="6"/>
  <c r="L140" i="6"/>
  <c r="M140" i="6"/>
  <c r="N140" i="6"/>
  <c r="O140" i="6"/>
  <c r="P140" i="6"/>
  <c r="Q140" i="6"/>
  <c r="R140" i="6"/>
  <c r="S140" i="6"/>
  <c r="T140" i="6"/>
  <c r="U140" i="6"/>
  <c r="V140" i="6"/>
  <c r="W140" i="6"/>
  <c r="X140" i="6"/>
  <c r="Y140" i="6"/>
  <c r="Z140" i="6"/>
  <c r="AA140" i="6"/>
  <c r="AB140" i="6"/>
  <c r="AC140" i="6"/>
  <c r="AD140" i="6"/>
  <c r="AE140" i="6"/>
  <c r="AF140" i="6"/>
  <c r="AG140" i="6"/>
  <c r="AH140" i="6"/>
  <c r="AI140" i="6"/>
  <c r="AJ140" i="6"/>
  <c r="AK140" i="6"/>
  <c r="AL140" i="6"/>
  <c r="AM140" i="6"/>
  <c r="AN140" i="6"/>
  <c r="AO140" i="6"/>
  <c r="AP140" i="6"/>
  <c r="AQ140" i="6"/>
  <c r="AR140" i="6"/>
  <c r="AS140" i="6"/>
  <c r="AT140" i="6"/>
  <c r="AU140" i="6"/>
  <c r="AV140" i="6"/>
  <c r="AW140" i="6"/>
  <c r="AX140" i="6"/>
  <c r="AY140" i="6"/>
  <c r="AZ140" i="6"/>
  <c r="BA140" i="6"/>
  <c r="BB140" i="6"/>
  <c r="BC140" i="6"/>
  <c r="BD140" i="6"/>
  <c r="BE140" i="6"/>
  <c r="BF140" i="6"/>
  <c r="BG140" i="6"/>
  <c r="BH140" i="6"/>
  <c r="BI140" i="6"/>
  <c r="BJ140" i="6"/>
  <c r="BK140" i="6"/>
  <c r="BL140" i="6"/>
  <c r="BM140" i="6"/>
  <c r="G140" i="6"/>
  <c r="F140" i="6"/>
  <c r="F146" i="6" s="1"/>
  <c r="F145" i="6"/>
  <c r="F144" i="6"/>
  <c r="F143" i="6"/>
  <c r="F142" i="6"/>
  <c r="F141" i="6"/>
  <c r="F136" i="6"/>
  <c r="D98" i="6"/>
  <c r="D97" i="6"/>
  <c r="D96" i="6"/>
  <c r="D95" i="6"/>
  <c r="D94" i="6"/>
  <c r="D93" i="6"/>
  <c r="F46" i="4"/>
  <c r="C121" i="6" l="1"/>
  <c r="C120" i="6"/>
  <c r="J92" i="6"/>
  <c r="I92" i="6"/>
  <c r="H92" i="6"/>
  <c r="G92" i="6"/>
  <c r="AD11" i="14" l="1"/>
  <c r="H52" i="16"/>
  <c r="G28" i="16" l="1"/>
  <c r="G27" i="16"/>
  <c r="G35" i="16" s="1"/>
  <c r="H57" i="16"/>
  <c r="H48" i="16"/>
  <c r="H47" i="16"/>
  <c r="G23" i="16"/>
  <c r="N41" i="14" l="1"/>
  <c r="J19" i="13"/>
  <c r="F21" i="4" l="1"/>
  <c r="F20" i="4"/>
  <c r="F19" i="4"/>
  <c r="F18" i="4"/>
  <c r="F17" i="4"/>
  <c r="F16" i="4"/>
  <c r="E60" i="17" l="1"/>
  <c r="D50" i="6"/>
  <c r="H38" i="16" l="1"/>
  <c r="H29" i="16"/>
  <c r="E128" i="13" l="1"/>
  <c r="F128" i="13" s="1"/>
  <c r="G128" i="13" s="1"/>
  <c r="H128" i="13" s="1"/>
  <c r="I128" i="13" s="1"/>
  <c r="J128" i="13" s="1"/>
  <c r="K128" i="13" s="1"/>
  <c r="L128" i="13" s="1"/>
  <c r="M128" i="13" s="1"/>
  <c r="N128" i="13" s="1"/>
  <c r="O128" i="13" s="1"/>
  <c r="P128" i="13" s="1"/>
  <c r="Q128" i="13" s="1"/>
  <c r="R128" i="13" s="1"/>
  <c r="S128" i="13" s="1"/>
  <c r="T128" i="13" s="1"/>
  <c r="F28" i="13" l="1"/>
  <c r="F29" i="13"/>
  <c r="F30" i="13"/>
  <c r="F27" i="13"/>
  <c r="E45" i="17" l="1"/>
  <c r="E46" i="17" s="1"/>
  <c r="F60" i="17" s="1"/>
  <c r="G21" i="16"/>
  <c r="G22" i="16" l="1"/>
  <c r="G32" i="16"/>
  <c r="J61" i="13"/>
  <c r="J65" i="13" s="1"/>
  <c r="J66" i="13" s="1"/>
  <c r="J53" i="13"/>
  <c r="E47" i="13"/>
  <c r="J21" i="13"/>
  <c r="J20" i="13"/>
  <c r="E34" i="13"/>
  <c r="G33" i="16" l="1"/>
  <c r="H24" i="16"/>
  <c r="B29" i="17"/>
  <c r="B30" i="17"/>
  <c r="B31" i="17"/>
  <c r="B32" i="17"/>
  <c r="B33" i="17"/>
  <c r="B34" i="17"/>
  <c r="B28" i="17"/>
  <c r="H58" i="17"/>
  <c r="G58" i="17"/>
  <c r="F58" i="17"/>
  <c r="D58" i="17"/>
  <c r="C58" i="17"/>
  <c r="H57" i="17"/>
  <c r="G57" i="17"/>
  <c r="F57" i="17"/>
  <c r="D57" i="17"/>
  <c r="C57" i="17"/>
  <c r="H56" i="17"/>
  <c r="G56" i="17"/>
  <c r="F56" i="17"/>
  <c r="D56" i="17"/>
  <c r="C56" i="17"/>
  <c r="B56" i="17"/>
  <c r="H55" i="17"/>
  <c r="G55" i="17"/>
  <c r="F55" i="17"/>
  <c r="D55" i="17"/>
  <c r="C55" i="17"/>
  <c r="B55" i="17"/>
  <c r="H54" i="17"/>
  <c r="G54" i="17"/>
  <c r="F54" i="17"/>
  <c r="D54" i="17"/>
  <c r="C54" i="17"/>
  <c r="H53" i="17"/>
  <c r="G53" i="17"/>
  <c r="F53" i="17"/>
  <c r="D53" i="17"/>
  <c r="C53" i="17"/>
  <c r="D22" i="17"/>
  <c r="E34" i="17" s="1"/>
  <c r="E58" i="17" s="1"/>
  <c r="B58" i="17"/>
  <c r="D21" i="17"/>
  <c r="E33" i="17" s="1"/>
  <c r="E57" i="17" s="1"/>
  <c r="B57" i="17"/>
  <c r="D20" i="17"/>
  <c r="E32" i="17" s="1"/>
  <c r="I32" i="17" s="1"/>
  <c r="D19" i="17"/>
  <c r="E31" i="17" s="1"/>
  <c r="E55" i="17" s="1"/>
  <c r="D18" i="17"/>
  <c r="B54" i="17"/>
  <c r="D17" i="17"/>
  <c r="B53" i="17"/>
  <c r="J57" i="17" l="1"/>
  <c r="J55" i="17"/>
  <c r="J58" i="17"/>
  <c r="I33" i="17"/>
  <c r="I34" i="17"/>
  <c r="E30" i="17"/>
  <c r="E54" i="17" s="1"/>
  <c r="J54" i="17" s="1"/>
  <c r="E29" i="17"/>
  <c r="E53" i="17" s="1"/>
  <c r="J53" i="17" s="1"/>
  <c r="E56" i="17"/>
  <c r="J56" i="17" s="1"/>
  <c r="I31" i="17"/>
  <c r="I30" i="17" l="1"/>
  <c r="I29" i="17"/>
  <c r="I24" i="13"/>
  <c r="E114" i="13"/>
  <c r="E104" i="13"/>
  <c r="F104" i="13" s="1"/>
  <c r="G104" i="13" s="1"/>
  <c r="Q149" i="13"/>
  <c r="F125" i="13"/>
  <c r="G125" i="13" s="1"/>
  <c r="H125" i="13" s="1"/>
  <c r="I125" i="13" s="1"/>
  <c r="J125" i="13" s="1"/>
  <c r="K125" i="13" s="1"/>
  <c r="L125" i="13" s="1"/>
  <c r="M125" i="13" s="1"/>
  <c r="N125" i="13" s="1"/>
  <c r="O125" i="13" s="1"/>
  <c r="P125" i="13" s="1"/>
  <c r="Q125" i="13" s="1"/>
  <c r="R125" i="13" s="1"/>
  <c r="S125" i="13" s="1"/>
  <c r="T125" i="13" s="1"/>
  <c r="E125" i="13"/>
  <c r="E115" i="13"/>
  <c r="F115" i="13" s="1"/>
  <c r="G115" i="13" s="1"/>
  <c r="H115" i="13" s="1"/>
  <c r="E113" i="13"/>
  <c r="F113" i="13" s="1"/>
  <c r="G113" i="13" s="1"/>
  <c r="H113" i="13" s="1"/>
  <c r="I113" i="13" s="1"/>
  <c r="J113" i="13" s="1"/>
  <c r="K113" i="13" s="1"/>
  <c r="L113" i="13" s="1"/>
  <c r="M113" i="13" s="1"/>
  <c r="N113" i="13" s="1"/>
  <c r="O113" i="13" s="1"/>
  <c r="P113" i="13" s="1"/>
  <c r="Q113" i="13" s="1"/>
  <c r="R113" i="13" s="1"/>
  <c r="S113" i="13" s="1"/>
  <c r="T113" i="13" s="1"/>
  <c r="E105" i="13"/>
  <c r="E140" i="13" s="1"/>
  <c r="E59" i="13"/>
  <c r="F112" i="13"/>
  <c r="H104" i="13" l="1"/>
  <c r="I104" i="13" s="1"/>
  <c r="J104" i="13" s="1"/>
  <c r="K104" i="13" s="1"/>
  <c r="L104" i="13" s="1"/>
  <c r="M104" i="13" s="1"/>
  <c r="N104" i="13" s="1"/>
  <c r="O104" i="13" s="1"/>
  <c r="P104" i="13" s="1"/>
  <c r="Q104" i="13" s="1"/>
  <c r="R104" i="13" s="1"/>
  <c r="S104" i="13" s="1"/>
  <c r="T104" i="13" s="1"/>
  <c r="T107" i="13" s="1"/>
  <c r="G105" i="13"/>
  <c r="G112" i="13"/>
  <c r="H112" i="13" s="1"/>
  <c r="I112" i="13" s="1"/>
  <c r="J112" i="13" s="1"/>
  <c r="K112" i="13" s="1"/>
  <c r="L112" i="13" s="1"/>
  <c r="M112" i="13" s="1"/>
  <c r="N112" i="13" s="1"/>
  <c r="O112" i="13" s="1"/>
  <c r="P112" i="13" s="1"/>
  <c r="Q112" i="13" s="1"/>
  <c r="R112" i="13" s="1"/>
  <c r="S112" i="13" s="1"/>
  <c r="T112" i="13" s="1"/>
  <c r="F107" i="13"/>
  <c r="F105" i="13"/>
  <c r="F140" i="13" s="1"/>
  <c r="G107" i="13"/>
  <c r="E116" i="13"/>
  <c r="E118" i="13" s="1"/>
  <c r="I115" i="13"/>
  <c r="J115" i="13" s="1"/>
  <c r="K115" i="13" s="1"/>
  <c r="L115" i="13" s="1"/>
  <c r="M115" i="13" s="1"/>
  <c r="N115" i="13" s="1"/>
  <c r="O115" i="13" s="1"/>
  <c r="P115" i="13" s="1"/>
  <c r="Q115" i="13" s="1"/>
  <c r="R115" i="13" s="1"/>
  <c r="S115" i="13" s="1"/>
  <c r="T115" i="13" s="1"/>
  <c r="K105" i="13" l="1"/>
  <c r="Q107" i="13"/>
  <c r="R107" i="13"/>
  <c r="L107" i="13"/>
  <c r="Q105" i="13"/>
  <c r="R105" i="13"/>
  <c r="T105" i="13"/>
  <c r="K107" i="13"/>
  <c r="O105" i="13"/>
  <c r="P107" i="13"/>
  <c r="I107" i="13"/>
  <c r="I105" i="13"/>
  <c r="J107" i="13"/>
  <c r="J105" i="13"/>
  <c r="O107" i="13"/>
  <c r="O108" i="13" s="1"/>
  <c r="S105" i="13"/>
  <c r="H105" i="13"/>
  <c r="M107" i="13"/>
  <c r="M105" i="13"/>
  <c r="N107" i="13"/>
  <c r="N105" i="13"/>
  <c r="S107" i="13"/>
  <c r="H107" i="13"/>
  <c r="P105" i="13"/>
  <c r="L105" i="13"/>
  <c r="E122" i="13"/>
  <c r="E127" i="13" s="1"/>
  <c r="F109" i="13"/>
  <c r="F108" i="13"/>
  <c r="E141" i="13"/>
  <c r="E143" i="13" s="1"/>
  <c r="E131" i="13"/>
  <c r="G140" i="13"/>
  <c r="G108" i="13"/>
  <c r="G109" i="13"/>
  <c r="E142" i="13" l="1"/>
  <c r="H140" i="13"/>
  <c r="H108" i="13" l="1"/>
  <c r="H109" i="13"/>
  <c r="I140" i="13"/>
  <c r="J140" i="13" l="1"/>
  <c r="I109" i="13"/>
  <c r="I108" i="13"/>
  <c r="J109" i="13" l="1"/>
  <c r="J108" i="13"/>
  <c r="K140" i="13"/>
  <c r="L140" i="13" l="1"/>
  <c r="K108" i="13"/>
  <c r="K109" i="13"/>
  <c r="L108" i="13" l="1"/>
  <c r="L109" i="13"/>
  <c r="M140" i="13"/>
  <c r="N140" i="13" l="1"/>
  <c r="M109" i="13"/>
  <c r="M108" i="13"/>
  <c r="N109" i="13" l="1"/>
  <c r="N108" i="13"/>
  <c r="O140" i="13"/>
  <c r="O109" i="13" l="1"/>
  <c r="P140" i="13"/>
  <c r="Q140" i="13" l="1"/>
  <c r="P108" i="13"/>
  <c r="P109" i="13"/>
  <c r="Q109" i="13" l="1"/>
  <c r="Q108" i="13"/>
  <c r="R140" i="13"/>
  <c r="S140" i="13" l="1"/>
  <c r="R109" i="13"/>
  <c r="R108" i="13"/>
  <c r="S108" i="13" l="1"/>
  <c r="S109" i="13"/>
  <c r="T140" i="13"/>
  <c r="T108" i="13" l="1"/>
  <c r="T109" i="13"/>
  <c r="E120" i="13" l="1"/>
  <c r="F120" i="13" s="1"/>
  <c r="F114" i="13" s="1"/>
  <c r="B5" i="13"/>
  <c r="E53" i="13" s="1"/>
  <c r="F5" i="13"/>
  <c r="E5" i="13"/>
  <c r="C5" i="13"/>
  <c r="G120" i="13" l="1"/>
  <c r="G114" i="13" s="1"/>
  <c r="F33" i="13"/>
  <c r="F32" i="13"/>
  <c r="E55" i="13" l="1"/>
  <c r="H120" i="13"/>
  <c r="H114" i="13" s="1"/>
  <c r="B135" i="6"/>
  <c r="I120" i="13" l="1"/>
  <c r="G34" i="16"/>
  <c r="G36" i="16" s="1"/>
  <c r="C34" i="13"/>
  <c r="F34" i="13" s="1"/>
  <c r="E63" i="6"/>
  <c r="F63" i="6"/>
  <c r="G63" i="6"/>
  <c r="H36" i="16" l="1"/>
  <c r="H40" i="16" s="1"/>
  <c r="D42" i="16" s="1"/>
  <c r="H51" i="16" s="1"/>
  <c r="J120" i="13"/>
  <c r="I114" i="13"/>
  <c r="AD47" i="14"/>
  <c r="AC47" i="14"/>
  <c r="AB47" i="14"/>
  <c r="AA47" i="14"/>
  <c r="Z47" i="14"/>
  <c r="Y47" i="14"/>
  <c r="X47" i="14"/>
  <c r="W47" i="14"/>
  <c r="V47" i="14"/>
  <c r="U47" i="14"/>
  <c r="T47" i="14"/>
  <c r="S47" i="14"/>
  <c r="R47" i="14"/>
  <c r="Q47" i="14"/>
  <c r="P47" i="14"/>
  <c r="O47" i="14"/>
  <c r="N47" i="14"/>
  <c r="AD46" i="14"/>
  <c r="AC46" i="14"/>
  <c r="AB46" i="14"/>
  <c r="AA46" i="14"/>
  <c r="Z46" i="14"/>
  <c r="Y46" i="14"/>
  <c r="X46" i="14"/>
  <c r="W46" i="14"/>
  <c r="V46" i="14"/>
  <c r="U46" i="14"/>
  <c r="T46" i="14"/>
  <c r="S46" i="14"/>
  <c r="R46" i="14"/>
  <c r="Q46" i="14"/>
  <c r="P46" i="14"/>
  <c r="O46" i="14"/>
  <c r="N46" i="14"/>
  <c r="AD45" i="14"/>
  <c r="AC45" i="14"/>
  <c r="AB45" i="14"/>
  <c r="AA45" i="14"/>
  <c r="Z45" i="14"/>
  <c r="Y45" i="14"/>
  <c r="X45" i="14"/>
  <c r="W45" i="14"/>
  <c r="V45" i="14"/>
  <c r="U45" i="14"/>
  <c r="T45" i="14"/>
  <c r="S45" i="14"/>
  <c r="R45" i="14"/>
  <c r="Q45" i="14"/>
  <c r="P45" i="14"/>
  <c r="O45" i="14"/>
  <c r="N45" i="14"/>
  <c r="AD44" i="14"/>
  <c r="AC44" i="14"/>
  <c r="AB44" i="14"/>
  <c r="AA44" i="14"/>
  <c r="Z44" i="14"/>
  <c r="Y44" i="14"/>
  <c r="X44" i="14"/>
  <c r="W44" i="14"/>
  <c r="V44" i="14"/>
  <c r="U44" i="14"/>
  <c r="T44" i="14"/>
  <c r="S44" i="14"/>
  <c r="R44" i="14"/>
  <c r="Q44" i="14"/>
  <c r="P44" i="14"/>
  <c r="O44" i="14"/>
  <c r="N44" i="14"/>
  <c r="AD43" i="14"/>
  <c r="AC43" i="14"/>
  <c r="AB43" i="14"/>
  <c r="AA43" i="14"/>
  <c r="Z43" i="14"/>
  <c r="Y43" i="14"/>
  <c r="X43" i="14"/>
  <c r="W43" i="14"/>
  <c r="V43" i="14"/>
  <c r="U43" i="14"/>
  <c r="T43" i="14"/>
  <c r="S43" i="14"/>
  <c r="R43" i="14"/>
  <c r="Q43" i="14"/>
  <c r="P43" i="14"/>
  <c r="O43" i="14"/>
  <c r="N43" i="14"/>
  <c r="AD42" i="14"/>
  <c r="AC42" i="14"/>
  <c r="AB42" i="14"/>
  <c r="AA42" i="14"/>
  <c r="Z42" i="14"/>
  <c r="Y42" i="14"/>
  <c r="X42" i="14"/>
  <c r="W42" i="14"/>
  <c r="V42" i="14"/>
  <c r="U42" i="14"/>
  <c r="T42" i="14"/>
  <c r="S42" i="14"/>
  <c r="R42" i="14"/>
  <c r="Q42" i="14"/>
  <c r="P42" i="14"/>
  <c r="O42" i="14"/>
  <c r="N42" i="14"/>
  <c r="AD41" i="14"/>
  <c r="AC41" i="14"/>
  <c r="AB41" i="14"/>
  <c r="AA41" i="14"/>
  <c r="Z41" i="14"/>
  <c r="Y41" i="14"/>
  <c r="X41" i="14"/>
  <c r="W41" i="14"/>
  <c r="V41" i="14"/>
  <c r="U41" i="14"/>
  <c r="T41" i="14"/>
  <c r="S41" i="14"/>
  <c r="R41" i="14"/>
  <c r="Q41" i="14"/>
  <c r="P41" i="14"/>
  <c r="O41" i="14"/>
  <c r="AD40" i="14"/>
  <c r="AC40" i="14"/>
  <c r="AB40" i="14"/>
  <c r="AA40" i="14"/>
  <c r="Z40" i="14"/>
  <c r="Y40" i="14"/>
  <c r="X40" i="14"/>
  <c r="W40" i="14"/>
  <c r="V40" i="14"/>
  <c r="U40" i="14"/>
  <c r="T40" i="14"/>
  <c r="S40" i="14"/>
  <c r="R40" i="14"/>
  <c r="Q40" i="14"/>
  <c r="P40" i="14"/>
  <c r="O40" i="14"/>
  <c r="N40" i="14"/>
  <c r="AD39" i="14"/>
  <c r="AC39" i="14"/>
  <c r="AB39" i="14"/>
  <c r="AA39" i="14"/>
  <c r="Z39" i="14"/>
  <c r="Y39" i="14"/>
  <c r="X39" i="14"/>
  <c r="W39" i="14"/>
  <c r="V39" i="14"/>
  <c r="U39" i="14"/>
  <c r="T39" i="14"/>
  <c r="S39" i="14"/>
  <c r="R39" i="14"/>
  <c r="Q39" i="14"/>
  <c r="P39" i="14"/>
  <c r="O39" i="14"/>
  <c r="N39" i="14"/>
  <c r="AD38" i="14"/>
  <c r="AC38" i="14"/>
  <c r="AB38" i="14"/>
  <c r="AA38" i="14"/>
  <c r="Z38" i="14"/>
  <c r="Y38" i="14"/>
  <c r="X38" i="14"/>
  <c r="W38" i="14"/>
  <c r="V38" i="14"/>
  <c r="U38" i="14"/>
  <c r="T38" i="14"/>
  <c r="S38" i="14"/>
  <c r="R38" i="14"/>
  <c r="Q38" i="14"/>
  <c r="P38" i="14"/>
  <c r="O38" i="14"/>
  <c r="N38" i="14"/>
  <c r="AD37" i="14"/>
  <c r="AC37" i="14"/>
  <c r="AB37" i="14"/>
  <c r="AA37" i="14"/>
  <c r="Z37" i="14"/>
  <c r="Y37" i="14"/>
  <c r="X37" i="14"/>
  <c r="W37" i="14"/>
  <c r="V37" i="14"/>
  <c r="U37" i="14"/>
  <c r="T37" i="14"/>
  <c r="S37" i="14"/>
  <c r="R37" i="14"/>
  <c r="Q37" i="14"/>
  <c r="P37" i="14"/>
  <c r="O37" i="14"/>
  <c r="N37" i="14"/>
  <c r="AD36" i="14"/>
  <c r="AC36" i="14"/>
  <c r="AB36" i="14"/>
  <c r="AA36" i="14"/>
  <c r="Z36" i="14"/>
  <c r="Y36" i="14"/>
  <c r="X36" i="14"/>
  <c r="W36" i="14"/>
  <c r="V36" i="14"/>
  <c r="U36" i="14"/>
  <c r="T36" i="14"/>
  <c r="S36" i="14"/>
  <c r="R36" i="14"/>
  <c r="Q36" i="14"/>
  <c r="P36" i="14"/>
  <c r="O36" i="14"/>
  <c r="N36" i="14"/>
  <c r="AD35" i="14"/>
  <c r="AC35" i="14"/>
  <c r="AB35" i="14"/>
  <c r="AA35" i="14"/>
  <c r="Z35" i="14"/>
  <c r="Y35" i="14"/>
  <c r="X35" i="14"/>
  <c r="W35" i="14"/>
  <c r="V35" i="14"/>
  <c r="U35" i="14"/>
  <c r="T35" i="14"/>
  <c r="S35" i="14"/>
  <c r="R35" i="14"/>
  <c r="Q35" i="14"/>
  <c r="P35" i="14"/>
  <c r="O35" i="14"/>
  <c r="N35" i="14"/>
  <c r="AD34" i="14"/>
  <c r="AC34" i="14"/>
  <c r="AB34" i="14"/>
  <c r="AA34" i="14"/>
  <c r="Z34" i="14"/>
  <c r="Y34" i="14"/>
  <c r="X34" i="14"/>
  <c r="W34" i="14"/>
  <c r="V34" i="14"/>
  <c r="U34" i="14"/>
  <c r="T34" i="14"/>
  <c r="S34" i="14"/>
  <c r="R34" i="14"/>
  <c r="Q34" i="14"/>
  <c r="P34" i="14"/>
  <c r="O34" i="14"/>
  <c r="N34" i="14"/>
  <c r="AD33" i="14"/>
  <c r="AC33" i="14"/>
  <c r="AB33" i="14"/>
  <c r="AA33" i="14"/>
  <c r="Z33" i="14"/>
  <c r="Y33" i="14"/>
  <c r="X33" i="14"/>
  <c r="W33" i="14"/>
  <c r="V33" i="14"/>
  <c r="U33" i="14"/>
  <c r="T33" i="14"/>
  <c r="S33" i="14"/>
  <c r="R33" i="14"/>
  <c r="Q33" i="14"/>
  <c r="P33" i="14"/>
  <c r="O33" i="14"/>
  <c r="N33" i="14"/>
  <c r="AD32" i="14"/>
  <c r="AC32" i="14"/>
  <c r="AB32" i="14"/>
  <c r="AA32" i="14"/>
  <c r="Z32" i="14"/>
  <c r="Y32" i="14"/>
  <c r="X32" i="14"/>
  <c r="W32" i="14"/>
  <c r="V32" i="14"/>
  <c r="U32" i="14"/>
  <c r="T32" i="14"/>
  <c r="S32" i="14"/>
  <c r="R32" i="14"/>
  <c r="Q32" i="14"/>
  <c r="P32" i="14"/>
  <c r="O32" i="14"/>
  <c r="N32" i="14"/>
  <c r="AD31" i="14"/>
  <c r="AC31" i="14"/>
  <c r="AB31" i="14"/>
  <c r="AA31" i="14"/>
  <c r="Z31" i="14"/>
  <c r="Y31" i="14"/>
  <c r="X31" i="14"/>
  <c r="W31" i="14"/>
  <c r="V31" i="14"/>
  <c r="U31" i="14"/>
  <c r="T31" i="14"/>
  <c r="S31" i="14"/>
  <c r="R31" i="14"/>
  <c r="Q31" i="14"/>
  <c r="P31" i="14"/>
  <c r="O31" i="14"/>
  <c r="N31" i="14"/>
  <c r="AD30" i="14"/>
  <c r="AC30" i="14"/>
  <c r="AB30" i="14"/>
  <c r="AA30" i="14"/>
  <c r="Z30" i="14"/>
  <c r="Y30" i="14"/>
  <c r="X30" i="14"/>
  <c r="W30" i="14"/>
  <c r="V30" i="14"/>
  <c r="U30" i="14"/>
  <c r="T30" i="14"/>
  <c r="S30" i="14"/>
  <c r="R30" i="14"/>
  <c r="Q30" i="14"/>
  <c r="P30" i="14"/>
  <c r="O30" i="14"/>
  <c r="N30" i="14"/>
  <c r="AD29" i="14"/>
  <c r="AC29" i="14"/>
  <c r="AB29" i="14"/>
  <c r="AA29" i="14"/>
  <c r="Z29" i="14"/>
  <c r="Y29" i="14"/>
  <c r="X29" i="14"/>
  <c r="W29" i="14"/>
  <c r="V29" i="14"/>
  <c r="U29" i="14"/>
  <c r="T29" i="14"/>
  <c r="S29" i="14"/>
  <c r="R29" i="14"/>
  <c r="Q29" i="14"/>
  <c r="P29" i="14"/>
  <c r="O29" i="14"/>
  <c r="N29" i="14"/>
  <c r="AD28" i="14"/>
  <c r="AC28" i="14"/>
  <c r="AB28" i="14"/>
  <c r="AA28" i="14"/>
  <c r="Z28" i="14"/>
  <c r="Y28" i="14"/>
  <c r="X28" i="14"/>
  <c r="W28" i="14"/>
  <c r="V28" i="14"/>
  <c r="U28" i="14"/>
  <c r="T28" i="14"/>
  <c r="S28" i="14"/>
  <c r="R28" i="14"/>
  <c r="Q28" i="14"/>
  <c r="P28" i="14"/>
  <c r="O28" i="14"/>
  <c r="N28" i="14"/>
  <c r="AD27" i="14"/>
  <c r="AC27" i="14"/>
  <c r="AB27" i="14"/>
  <c r="AA27" i="14"/>
  <c r="Z27" i="14"/>
  <c r="Y27" i="14"/>
  <c r="X27" i="14"/>
  <c r="W27" i="14"/>
  <c r="V27" i="14"/>
  <c r="U27" i="14"/>
  <c r="T27" i="14"/>
  <c r="S27" i="14"/>
  <c r="R27" i="14"/>
  <c r="Q27" i="14"/>
  <c r="P27" i="14"/>
  <c r="O27" i="14"/>
  <c r="N27" i="14"/>
  <c r="AD26" i="14"/>
  <c r="AC26" i="14"/>
  <c r="AB26" i="14"/>
  <c r="AA26" i="14"/>
  <c r="Z26" i="14"/>
  <c r="Y26" i="14"/>
  <c r="X26" i="14"/>
  <c r="W26" i="14"/>
  <c r="V26" i="14"/>
  <c r="U26" i="14"/>
  <c r="T26" i="14"/>
  <c r="S26" i="14"/>
  <c r="R26" i="14"/>
  <c r="Q26" i="14"/>
  <c r="P26" i="14"/>
  <c r="O26" i="14"/>
  <c r="N26" i="14"/>
  <c r="AD25" i="14"/>
  <c r="AC25" i="14"/>
  <c r="AB25" i="14"/>
  <c r="AA25" i="14"/>
  <c r="Z25" i="14"/>
  <c r="Y25" i="14"/>
  <c r="X25" i="14"/>
  <c r="W25" i="14"/>
  <c r="V25" i="14"/>
  <c r="U25" i="14"/>
  <c r="T25" i="14"/>
  <c r="S25" i="14"/>
  <c r="R25" i="14"/>
  <c r="Q25" i="14"/>
  <c r="P25" i="14"/>
  <c r="O25" i="14"/>
  <c r="N25" i="14"/>
  <c r="AD24" i="14"/>
  <c r="AC24" i="14"/>
  <c r="AB24" i="14"/>
  <c r="AA24" i="14"/>
  <c r="Z24" i="14"/>
  <c r="Y24" i="14"/>
  <c r="X24" i="14"/>
  <c r="W24" i="14"/>
  <c r="V24" i="14"/>
  <c r="U24" i="14"/>
  <c r="T24" i="14"/>
  <c r="S24" i="14"/>
  <c r="R24" i="14"/>
  <c r="Q24" i="14"/>
  <c r="P24" i="14"/>
  <c r="O24" i="14"/>
  <c r="N24" i="14"/>
  <c r="AD23" i="14"/>
  <c r="AC23" i="14"/>
  <c r="AB23" i="14"/>
  <c r="AA23" i="14"/>
  <c r="Z23" i="14"/>
  <c r="Y23" i="14"/>
  <c r="X23" i="14"/>
  <c r="W23" i="14"/>
  <c r="V23" i="14"/>
  <c r="U23" i="14"/>
  <c r="T23" i="14"/>
  <c r="S23" i="14"/>
  <c r="R23" i="14"/>
  <c r="Q23" i="14"/>
  <c r="P23" i="14"/>
  <c r="O23" i="14"/>
  <c r="N23" i="14"/>
  <c r="AD22" i="14"/>
  <c r="AC22" i="14"/>
  <c r="AB22" i="14"/>
  <c r="AA22" i="14"/>
  <c r="Z22" i="14"/>
  <c r="Y22" i="14"/>
  <c r="X22" i="14"/>
  <c r="W22" i="14"/>
  <c r="V22" i="14"/>
  <c r="U22" i="14"/>
  <c r="T22" i="14"/>
  <c r="S22" i="14"/>
  <c r="R22" i="14"/>
  <c r="Q22" i="14"/>
  <c r="P22" i="14"/>
  <c r="O22" i="14"/>
  <c r="N22" i="14"/>
  <c r="AD21" i="14"/>
  <c r="AC21" i="14"/>
  <c r="AB21" i="14"/>
  <c r="AA21" i="14"/>
  <c r="Z21" i="14"/>
  <c r="Y21" i="14"/>
  <c r="X21" i="14"/>
  <c r="W21" i="14"/>
  <c r="V21" i="14"/>
  <c r="U21" i="14"/>
  <c r="T21" i="14"/>
  <c r="S21" i="14"/>
  <c r="R21" i="14"/>
  <c r="Q21" i="14"/>
  <c r="P21" i="14"/>
  <c r="O21" i="14"/>
  <c r="N21" i="14"/>
  <c r="AD20" i="14"/>
  <c r="AC20" i="14"/>
  <c r="AB20" i="14"/>
  <c r="AA20" i="14"/>
  <c r="Z20" i="14"/>
  <c r="Y20" i="14"/>
  <c r="X20" i="14"/>
  <c r="W20" i="14"/>
  <c r="V20" i="14"/>
  <c r="U20" i="14"/>
  <c r="T20" i="14"/>
  <c r="S20" i="14"/>
  <c r="R20" i="14"/>
  <c r="Q20" i="14"/>
  <c r="P20" i="14"/>
  <c r="O20" i="14"/>
  <c r="N20" i="14"/>
  <c r="AD19" i="14"/>
  <c r="AC19" i="14"/>
  <c r="AB19" i="14"/>
  <c r="AA19" i="14"/>
  <c r="Z19" i="14"/>
  <c r="Y19" i="14"/>
  <c r="X19" i="14"/>
  <c r="W19" i="14"/>
  <c r="V19" i="14"/>
  <c r="U19" i="14"/>
  <c r="T19" i="14"/>
  <c r="S19" i="14"/>
  <c r="R19" i="14"/>
  <c r="Q19" i="14"/>
  <c r="P19" i="14"/>
  <c r="O19" i="14"/>
  <c r="N19" i="14"/>
  <c r="AD18" i="14"/>
  <c r="AC18" i="14"/>
  <c r="AB18" i="14"/>
  <c r="AA18" i="14"/>
  <c r="Z18" i="14"/>
  <c r="Y18" i="14"/>
  <c r="X18" i="14"/>
  <c r="W18" i="14"/>
  <c r="V18" i="14"/>
  <c r="U18" i="14"/>
  <c r="T18" i="14"/>
  <c r="S18" i="14"/>
  <c r="R18" i="14"/>
  <c r="Q18" i="14"/>
  <c r="P18" i="14"/>
  <c r="O18" i="14"/>
  <c r="N18" i="14"/>
  <c r="AD17" i="14"/>
  <c r="AC17" i="14"/>
  <c r="AB17" i="14"/>
  <c r="AA17" i="14"/>
  <c r="Z17" i="14"/>
  <c r="Y17" i="14"/>
  <c r="X17" i="14"/>
  <c r="W17" i="14"/>
  <c r="V17" i="14"/>
  <c r="U17" i="14"/>
  <c r="T17" i="14"/>
  <c r="S17" i="14"/>
  <c r="R17" i="14"/>
  <c r="Q17" i="14"/>
  <c r="P17" i="14"/>
  <c r="O17" i="14"/>
  <c r="N17" i="14"/>
  <c r="AD16" i="14"/>
  <c r="AC16" i="14"/>
  <c r="AB16" i="14"/>
  <c r="AA16" i="14"/>
  <c r="Z16" i="14"/>
  <c r="Y16" i="14"/>
  <c r="X16" i="14"/>
  <c r="W16" i="14"/>
  <c r="V16" i="14"/>
  <c r="U16" i="14"/>
  <c r="T16" i="14"/>
  <c r="S16" i="14"/>
  <c r="R16" i="14"/>
  <c r="Q16" i="14"/>
  <c r="P16" i="14"/>
  <c r="O16" i="14"/>
  <c r="N16" i="14"/>
  <c r="AD15" i="14"/>
  <c r="AC15" i="14"/>
  <c r="AB15" i="14"/>
  <c r="AA15" i="14"/>
  <c r="Z15" i="14"/>
  <c r="Y15" i="14"/>
  <c r="X15" i="14"/>
  <c r="W15" i="14"/>
  <c r="V15" i="14"/>
  <c r="U15" i="14"/>
  <c r="T15" i="14"/>
  <c r="S15" i="14"/>
  <c r="R15" i="14"/>
  <c r="Q15" i="14"/>
  <c r="P15" i="14"/>
  <c r="O15" i="14"/>
  <c r="N15" i="14"/>
  <c r="AD14" i="14"/>
  <c r="AC14" i="14"/>
  <c r="AB14" i="14"/>
  <c r="AA14" i="14"/>
  <c r="Z14" i="14"/>
  <c r="Y14" i="14"/>
  <c r="X14" i="14"/>
  <c r="W14" i="14"/>
  <c r="V14" i="14"/>
  <c r="U14" i="14"/>
  <c r="T14" i="14"/>
  <c r="S14" i="14"/>
  <c r="R14" i="14"/>
  <c r="Q14" i="14"/>
  <c r="P14" i="14"/>
  <c r="O14" i="14"/>
  <c r="N14" i="14"/>
  <c r="AD13" i="14"/>
  <c r="AC13" i="14"/>
  <c r="AB13" i="14"/>
  <c r="AA13" i="14"/>
  <c r="Z13" i="14"/>
  <c r="Y13" i="14"/>
  <c r="X13" i="14"/>
  <c r="W13" i="14"/>
  <c r="V13" i="14"/>
  <c r="U13" i="14"/>
  <c r="T13" i="14"/>
  <c r="S13" i="14"/>
  <c r="R13" i="14"/>
  <c r="Q13" i="14"/>
  <c r="P13" i="14"/>
  <c r="O13" i="14"/>
  <c r="N13" i="14"/>
  <c r="AD12" i="14"/>
  <c r="AC12" i="14"/>
  <c r="AB12" i="14"/>
  <c r="AA12" i="14"/>
  <c r="Z12" i="14"/>
  <c r="Y12" i="14"/>
  <c r="X12" i="14"/>
  <c r="W12" i="14"/>
  <c r="V12" i="14"/>
  <c r="U12" i="14"/>
  <c r="T12" i="14"/>
  <c r="S12" i="14"/>
  <c r="R12" i="14"/>
  <c r="Q12" i="14"/>
  <c r="P12" i="14"/>
  <c r="O12" i="14"/>
  <c r="N12" i="14"/>
  <c r="AC11" i="14"/>
  <c r="AB11" i="14"/>
  <c r="AA11" i="14"/>
  <c r="Z11" i="14"/>
  <c r="Y11" i="14"/>
  <c r="X11" i="14"/>
  <c r="W11" i="14"/>
  <c r="V11" i="14"/>
  <c r="U11" i="14"/>
  <c r="T11" i="14"/>
  <c r="S11" i="14"/>
  <c r="R11" i="14"/>
  <c r="Q11" i="14"/>
  <c r="P11" i="14"/>
  <c r="O11" i="14"/>
  <c r="C7" i="14"/>
  <c r="B7" i="14"/>
  <c r="C6" i="14"/>
  <c r="B6" i="14"/>
  <c r="C5" i="14"/>
  <c r="B5" i="14"/>
  <c r="C4" i="14"/>
  <c r="B4" i="14"/>
  <c r="C3" i="14"/>
  <c r="B3" i="14"/>
  <c r="C2" i="14"/>
  <c r="B2" i="14"/>
  <c r="C57" i="13"/>
  <c r="K120" i="13" l="1"/>
  <c r="J114" i="13"/>
  <c r="C68" i="13"/>
  <c r="D68" i="13" s="1"/>
  <c r="C62" i="13"/>
  <c r="D62" i="13" s="1"/>
  <c r="C66" i="13"/>
  <c r="C63" i="13"/>
  <c r="D63" i="13" s="1"/>
  <c r="C60" i="13"/>
  <c r="C59" i="13"/>
  <c r="D59" i="13" s="1"/>
  <c r="C71" i="13"/>
  <c r="D71" i="13" s="1"/>
  <c r="C64" i="13"/>
  <c r="D64" i="13" s="1"/>
  <c r="C67" i="13"/>
  <c r="C69" i="13"/>
  <c r="D69" i="13" s="1"/>
  <c r="C72" i="13"/>
  <c r="D72" i="13" s="1"/>
  <c r="C73" i="13"/>
  <c r="D73" i="13" s="1"/>
  <c r="C58" i="13"/>
  <c r="D58" i="13" s="1"/>
  <c r="C61" i="13"/>
  <c r="D61" i="13" s="1"/>
  <c r="C65" i="13"/>
  <c r="C70" i="13"/>
  <c r="D70" i="13" s="1"/>
  <c r="D44" i="16" l="1"/>
  <c r="H53" i="16"/>
  <c r="L120" i="13"/>
  <c r="K114" i="13"/>
  <c r="H59" i="16" l="1"/>
  <c r="H46" i="16"/>
  <c r="H49" i="16" s="1"/>
  <c r="H55" i="16" s="1"/>
  <c r="H60" i="16" s="1"/>
  <c r="M120" i="13"/>
  <c r="L114" i="13"/>
  <c r="H65" i="6"/>
  <c r="E44" i="4"/>
  <c r="N120" i="13" l="1"/>
  <c r="M114" i="13"/>
  <c r="D130" i="6"/>
  <c r="B130" i="6"/>
  <c r="D129" i="6"/>
  <c r="B129" i="6"/>
  <c r="D128" i="6"/>
  <c r="B128" i="6"/>
  <c r="D127" i="6"/>
  <c r="B127" i="6"/>
  <c r="D126" i="6"/>
  <c r="B126" i="6"/>
  <c r="C123" i="6"/>
  <c r="C122" i="6"/>
  <c r="B98" i="6"/>
  <c r="B145" i="6" s="1"/>
  <c r="B97" i="6"/>
  <c r="B144" i="6" s="1"/>
  <c r="B96" i="6"/>
  <c r="B95" i="6"/>
  <c r="B94" i="6"/>
  <c r="B93" i="6"/>
  <c r="H84" i="6"/>
  <c r="C84" i="6"/>
  <c r="B84" i="6"/>
  <c r="H83" i="6"/>
  <c r="C83" i="6"/>
  <c r="B83" i="6"/>
  <c r="H82" i="6"/>
  <c r="C82" i="6"/>
  <c r="B82" i="6"/>
  <c r="H81" i="6"/>
  <c r="C81" i="6"/>
  <c r="B81" i="6"/>
  <c r="H80" i="6"/>
  <c r="C80" i="6"/>
  <c r="B80" i="6"/>
  <c r="H79" i="6"/>
  <c r="C79" i="6"/>
  <c r="B79" i="6"/>
  <c r="H78" i="6"/>
  <c r="C78" i="6"/>
  <c r="B78" i="6"/>
  <c r="H77" i="6"/>
  <c r="C77" i="6"/>
  <c r="B77" i="6"/>
  <c r="H76" i="6"/>
  <c r="C76" i="6"/>
  <c r="B76" i="6"/>
  <c r="H75" i="6"/>
  <c r="C75" i="6"/>
  <c r="B75" i="6"/>
  <c r="H74" i="6"/>
  <c r="C74" i="6"/>
  <c r="B74" i="6"/>
  <c r="H73" i="6"/>
  <c r="C73" i="6"/>
  <c r="B73" i="6"/>
  <c r="H72" i="6"/>
  <c r="C72" i="6"/>
  <c r="B72" i="6"/>
  <c r="H71" i="6"/>
  <c r="C71" i="6"/>
  <c r="B71" i="6"/>
  <c r="H70" i="6"/>
  <c r="C70" i="6"/>
  <c r="B70" i="6"/>
  <c r="H69" i="6"/>
  <c r="C69" i="6"/>
  <c r="B69" i="6"/>
  <c r="H68" i="6"/>
  <c r="C68" i="6"/>
  <c r="B68" i="6"/>
  <c r="H67" i="6"/>
  <c r="C67" i="6"/>
  <c r="B67" i="6"/>
  <c r="H66" i="6"/>
  <c r="C66" i="6"/>
  <c r="B66" i="6"/>
  <c r="C65" i="6"/>
  <c r="B65" i="6"/>
  <c r="O64" i="6"/>
  <c r="N64" i="6"/>
  <c r="M64" i="6"/>
  <c r="B58" i="6"/>
  <c r="B138" i="6" s="1"/>
  <c r="B57" i="6"/>
  <c r="B137" i="6" s="1"/>
  <c r="B56" i="6"/>
  <c r="B136" i="6" s="1"/>
  <c r="B100" i="4"/>
  <c r="B99" i="4"/>
  <c r="F93" i="4"/>
  <c r="F92" i="4"/>
  <c r="F91" i="4"/>
  <c r="F90" i="4"/>
  <c r="F89" i="4"/>
  <c r="F88" i="4"/>
  <c r="F87" i="4"/>
  <c r="F83" i="4"/>
  <c r="F82" i="4"/>
  <c r="F81" i="4"/>
  <c r="F80" i="4"/>
  <c r="F79" i="4"/>
  <c r="F78" i="4"/>
  <c r="F77" i="4"/>
  <c r="F76" i="4"/>
  <c r="F75" i="4"/>
  <c r="F74" i="4"/>
  <c r="F73" i="4"/>
  <c r="F69" i="4"/>
  <c r="F68" i="4"/>
  <c r="F67" i="4"/>
  <c r="F66" i="4"/>
  <c r="F65" i="4"/>
  <c r="F64" i="4"/>
  <c r="F63" i="4"/>
  <c r="F62" i="4"/>
  <c r="F61" i="4"/>
  <c r="F60" i="4"/>
  <c r="F59" i="4"/>
  <c r="F58" i="4"/>
  <c r="F55" i="4"/>
  <c r="F54" i="4"/>
  <c r="F56" i="4" s="1"/>
  <c r="E45" i="4"/>
  <c r="B45" i="4"/>
  <c r="B44" i="4"/>
  <c r="E43" i="4"/>
  <c r="B43" i="4"/>
  <c r="E42" i="4"/>
  <c r="B42" i="4"/>
  <c r="E41" i="4"/>
  <c r="B41" i="4"/>
  <c r="E40" i="4"/>
  <c r="B40" i="4"/>
  <c r="C39" i="4"/>
  <c r="B39" i="4"/>
  <c r="K21" i="4"/>
  <c r="K20" i="4"/>
  <c r="K19" i="4"/>
  <c r="K18" i="4"/>
  <c r="K17" i="4"/>
  <c r="K16" i="4"/>
  <c r="B140" i="6" l="1"/>
  <c r="D69" i="6"/>
  <c r="D73" i="6"/>
  <c r="D77" i="6"/>
  <c r="D81" i="6"/>
  <c r="D65" i="6"/>
  <c r="D68" i="6"/>
  <c r="O68" i="6" s="1"/>
  <c r="D72" i="6"/>
  <c r="D76" i="6"/>
  <c r="D80" i="6"/>
  <c r="D84" i="6"/>
  <c r="D67" i="6"/>
  <c r="D71" i="6"/>
  <c r="D75" i="6"/>
  <c r="D79" i="6"/>
  <c r="D83" i="6"/>
  <c r="D66" i="6"/>
  <c r="D70" i="6"/>
  <c r="D74" i="6"/>
  <c r="D78" i="6"/>
  <c r="D82" i="6"/>
  <c r="K78" i="6"/>
  <c r="K82" i="6"/>
  <c r="F94" i="4"/>
  <c r="F95" i="4" s="1"/>
  <c r="F70" i="4"/>
  <c r="F71" i="4" s="1"/>
  <c r="D99" i="4" s="1"/>
  <c r="F84" i="4"/>
  <c r="F85" i="4" s="1"/>
  <c r="K77" i="6"/>
  <c r="K81" i="6"/>
  <c r="K80" i="6"/>
  <c r="K84" i="6"/>
  <c r="K79" i="6"/>
  <c r="K83" i="6"/>
  <c r="G22" i="4"/>
  <c r="O120" i="13"/>
  <c r="N114" i="13"/>
  <c r="B142" i="6"/>
  <c r="B143" i="6"/>
  <c r="B141" i="6"/>
  <c r="C44" i="4"/>
  <c r="C94" i="6"/>
  <c r="C42" i="4"/>
  <c r="C43" i="4"/>
  <c r="C45" i="4"/>
  <c r="F45" i="4" s="1"/>
  <c r="D145" i="6" s="1"/>
  <c r="C93" i="6"/>
  <c r="C40" i="4"/>
  <c r="F40" i="4" s="1"/>
  <c r="C98" i="6"/>
  <c r="C95" i="6"/>
  <c r="F22" i="4"/>
  <c r="F117" i="6"/>
  <c r="C97" i="6"/>
  <c r="H22" i="4"/>
  <c r="C41" i="4"/>
  <c r="C96" i="6"/>
  <c r="F123" i="6" l="1"/>
  <c r="F121" i="6"/>
  <c r="E47" i="17"/>
  <c r="E61" i="17"/>
  <c r="F122" i="6"/>
  <c r="F128" i="6"/>
  <c r="F127" i="6"/>
  <c r="F130" i="6"/>
  <c r="F126" i="6"/>
  <c r="F129" i="6"/>
  <c r="P120" i="13"/>
  <c r="O114" i="13"/>
  <c r="D140" i="6"/>
  <c r="D135" i="6"/>
  <c r="F96" i="4"/>
  <c r="F138" i="6"/>
  <c r="F137" i="6"/>
  <c r="F135" i="6"/>
  <c r="D137" i="6"/>
  <c r="D136" i="6"/>
  <c r="D100" i="4"/>
  <c r="F43" i="4"/>
  <c r="D143" i="6" s="1"/>
  <c r="F41" i="4"/>
  <c r="F42" i="4"/>
  <c r="D142" i="6" s="1"/>
  <c r="F44" i="4"/>
  <c r="D144" i="6" s="1"/>
  <c r="O83" i="6"/>
  <c r="N83" i="6"/>
  <c r="M83" i="6"/>
  <c r="O81" i="6"/>
  <c r="N81" i="6"/>
  <c r="M81" i="6"/>
  <c r="O79" i="6"/>
  <c r="M79" i="6"/>
  <c r="N79" i="6"/>
  <c r="O77" i="6"/>
  <c r="M77" i="6"/>
  <c r="N77" i="6"/>
  <c r="O75" i="6"/>
  <c r="N75" i="6"/>
  <c r="M75" i="6"/>
  <c r="O73" i="6"/>
  <c r="M73" i="6"/>
  <c r="N73" i="6"/>
  <c r="O71" i="6"/>
  <c r="M71" i="6"/>
  <c r="N71" i="6"/>
  <c r="O69" i="6"/>
  <c r="M69" i="6"/>
  <c r="N69" i="6"/>
  <c r="O67" i="6"/>
  <c r="N67" i="6"/>
  <c r="M67" i="6"/>
  <c r="O65" i="6"/>
  <c r="M65" i="6"/>
  <c r="N65" i="6"/>
  <c r="M70" i="6"/>
  <c r="O70" i="6"/>
  <c r="N70" i="6"/>
  <c r="M76" i="6"/>
  <c r="O76" i="6"/>
  <c r="N76" i="6"/>
  <c r="M66" i="6"/>
  <c r="O66" i="6"/>
  <c r="N66" i="6"/>
  <c r="M72" i="6"/>
  <c r="O72" i="6"/>
  <c r="N72" i="6"/>
  <c r="N80" i="6"/>
  <c r="M80" i="6"/>
  <c r="O80" i="6"/>
  <c r="M78" i="6"/>
  <c r="O78" i="6"/>
  <c r="N78" i="6"/>
  <c r="G117" i="6"/>
  <c r="N82" i="6"/>
  <c r="M82" i="6"/>
  <c r="O82" i="6"/>
  <c r="N68" i="6"/>
  <c r="M68" i="6"/>
  <c r="N84" i="6"/>
  <c r="M84" i="6"/>
  <c r="O84" i="6"/>
  <c r="M74" i="6"/>
  <c r="N74" i="6"/>
  <c r="O74" i="6"/>
  <c r="G121" i="6" l="1"/>
  <c r="G120" i="6"/>
  <c r="F93" i="6"/>
  <c r="G93" i="6" s="1"/>
  <c r="G123" i="6"/>
  <c r="F131" i="6"/>
  <c r="G122" i="6"/>
  <c r="G129" i="6"/>
  <c r="G128" i="6"/>
  <c r="G127" i="6"/>
  <c r="G130" i="6"/>
  <c r="G138" i="6"/>
  <c r="G126" i="6"/>
  <c r="F47" i="4"/>
  <c r="F147" i="6"/>
  <c r="Q120" i="13"/>
  <c r="P114" i="13"/>
  <c r="D101" i="4"/>
  <c r="D138" i="6"/>
  <c r="G136" i="6"/>
  <c r="G135" i="6"/>
  <c r="G137" i="6"/>
  <c r="L77" i="6"/>
  <c r="D141" i="6"/>
  <c r="H117" i="6"/>
  <c r="H121" i="6" s="1"/>
  <c r="H93" i="6" l="1"/>
  <c r="F97" i="6"/>
  <c r="K97" i="6" s="1"/>
  <c r="H97" i="6"/>
  <c r="F95" i="6"/>
  <c r="H95" i="6"/>
  <c r="F96" i="6"/>
  <c r="H96" i="6"/>
  <c r="F94" i="6"/>
  <c r="H94" i="6"/>
  <c r="F98" i="6"/>
  <c r="J98" i="6" s="1"/>
  <c r="H98" i="6"/>
  <c r="K98" i="6"/>
  <c r="H123" i="6"/>
  <c r="G131" i="6"/>
  <c r="G124" i="6"/>
  <c r="H122" i="6"/>
  <c r="H130" i="6"/>
  <c r="H128" i="6"/>
  <c r="H126" i="6"/>
  <c r="H129" i="6"/>
  <c r="H127" i="6"/>
  <c r="H120" i="6"/>
  <c r="J83" i="6"/>
  <c r="D102" i="4"/>
  <c r="D146" i="6"/>
  <c r="L80" i="6"/>
  <c r="L78" i="6"/>
  <c r="R120" i="13"/>
  <c r="Q114" i="13"/>
  <c r="L81" i="6"/>
  <c r="L79" i="6"/>
  <c r="H138" i="6"/>
  <c r="H137" i="6"/>
  <c r="H136" i="6"/>
  <c r="H135" i="6"/>
  <c r="L83" i="6"/>
  <c r="L82" i="6"/>
  <c r="L84" i="6"/>
  <c r="J80" i="6"/>
  <c r="J81" i="6"/>
  <c r="J82" i="6"/>
  <c r="L75" i="6"/>
  <c r="J84" i="6"/>
  <c r="J79" i="6"/>
  <c r="J78" i="6"/>
  <c r="L76" i="6"/>
  <c r="I117" i="6"/>
  <c r="I121" i="6" s="1"/>
  <c r="J97" i="6" l="1"/>
  <c r="G98" i="6"/>
  <c r="I98" i="6"/>
  <c r="K75" i="6" s="1"/>
  <c r="J94" i="6"/>
  <c r="K94" i="6"/>
  <c r="G94" i="6"/>
  <c r="I94" i="6"/>
  <c r="K95" i="6"/>
  <c r="I95" i="6"/>
  <c r="G95" i="6"/>
  <c r="J95" i="6"/>
  <c r="K96" i="6"/>
  <c r="I96" i="6"/>
  <c r="G96" i="6"/>
  <c r="J96" i="6"/>
  <c r="G97" i="6"/>
  <c r="I97" i="6"/>
  <c r="K93" i="6"/>
  <c r="I93" i="6"/>
  <c r="J93" i="6"/>
  <c r="H147" i="6"/>
  <c r="I123" i="6"/>
  <c r="I137" i="6"/>
  <c r="G132" i="6"/>
  <c r="G148" i="6" s="1"/>
  <c r="H131" i="6"/>
  <c r="H124" i="6"/>
  <c r="I122" i="6"/>
  <c r="I129" i="6"/>
  <c r="I127" i="6"/>
  <c r="I130" i="6"/>
  <c r="I128" i="6"/>
  <c r="I126" i="6"/>
  <c r="I120" i="6"/>
  <c r="E102" i="4"/>
  <c r="E99" i="4"/>
  <c r="E101" i="4"/>
  <c r="E100" i="4"/>
  <c r="S120" i="13"/>
  <c r="R114" i="13"/>
  <c r="I136" i="6"/>
  <c r="I138" i="6"/>
  <c r="I135" i="6"/>
  <c r="J117" i="6"/>
  <c r="J121" i="6" s="1"/>
  <c r="K76" i="6" l="1"/>
  <c r="L73" i="6"/>
  <c r="L74" i="6"/>
  <c r="J76" i="6"/>
  <c r="J75" i="6"/>
  <c r="K100" i="6"/>
  <c r="D124" i="6" s="1"/>
  <c r="J71" i="6"/>
  <c r="J72" i="6"/>
  <c r="J77" i="6"/>
  <c r="J69" i="6"/>
  <c r="J70" i="6"/>
  <c r="J67" i="6"/>
  <c r="J68" i="6"/>
  <c r="L72" i="6"/>
  <c r="L71" i="6"/>
  <c r="K67" i="6"/>
  <c r="K68" i="6"/>
  <c r="K73" i="6"/>
  <c r="K74" i="6"/>
  <c r="K71" i="6"/>
  <c r="K72" i="6"/>
  <c r="K69" i="6"/>
  <c r="K70" i="6"/>
  <c r="L70" i="6"/>
  <c r="L69" i="6"/>
  <c r="G100" i="6"/>
  <c r="D120" i="6" s="1"/>
  <c r="H100" i="6"/>
  <c r="D121" i="6" s="1"/>
  <c r="J74" i="6"/>
  <c r="J73" i="6"/>
  <c r="L67" i="6"/>
  <c r="L68" i="6"/>
  <c r="J65" i="6"/>
  <c r="J66" i="6"/>
  <c r="K65" i="6"/>
  <c r="K66" i="6"/>
  <c r="L65" i="6"/>
  <c r="L66" i="6"/>
  <c r="I146" i="6"/>
  <c r="I147" i="6" s="1"/>
  <c r="J123" i="6"/>
  <c r="I131" i="6"/>
  <c r="H132" i="6"/>
  <c r="H148" i="6" s="1"/>
  <c r="I124" i="6"/>
  <c r="J122" i="6"/>
  <c r="J129" i="6"/>
  <c r="J127" i="6"/>
  <c r="J130" i="6"/>
  <c r="J128" i="6"/>
  <c r="J120" i="6"/>
  <c r="J126" i="6"/>
  <c r="T120" i="13"/>
  <c r="S114" i="13"/>
  <c r="J137" i="6"/>
  <c r="J135" i="6"/>
  <c r="J136" i="6"/>
  <c r="J138" i="6"/>
  <c r="K117" i="6"/>
  <c r="D105" i="6" l="1"/>
  <c r="D111" i="6" s="1"/>
  <c r="F120" i="6"/>
  <c r="F124" i="6" s="1"/>
  <c r="F132" i="6" s="1"/>
  <c r="F148" i="6" s="1"/>
  <c r="F149" i="6" s="1"/>
  <c r="G149" i="6" s="1"/>
  <c r="H149" i="6" s="1"/>
  <c r="J100" i="6"/>
  <c r="D123" i="6" s="1"/>
  <c r="I100" i="6"/>
  <c r="D122" i="6" s="1"/>
  <c r="K121" i="6"/>
  <c r="C105" i="6"/>
  <c r="C110" i="6"/>
  <c r="C107" i="6"/>
  <c r="C108" i="6"/>
  <c r="C106" i="6"/>
  <c r="C109" i="6"/>
  <c r="J146" i="6"/>
  <c r="J147" i="6" s="1"/>
  <c r="K123" i="6"/>
  <c r="I132" i="6"/>
  <c r="I148" i="6" s="1"/>
  <c r="J131" i="6"/>
  <c r="J124" i="6"/>
  <c r="K122" i="6"/>
  <c r="K130" i="6"/>
  <c r="K128" i="6"/>
  <c r="K126" i="6"/>
  <c r="K129" i="6"/>
  <c r="K127" i="6"/>
  <c r="K120" i="6"/>
  <c r="T114" i="13"/>
  <c r="K138" i="6"/>
  <c r="K137" i="6"/>
  <c r="K136" i="6"/>
  <c r="K135" i="6"/>
  <c r="L117" i="6"/>
  <c r="L121" i="6" s="1"/>
  <c r="I149" i="6" l="1"/>
  <c r="C111" i="6"/>
  <c r="K146" i="6"/>
  <c r="K147" i="6" s="1"/>
  <c r="L123" i="6"/>
  <c r="K131" i="6"/>
  <c r="J132" i="6"/>
  <c r="J148" i="6" s="1"/>
  <c r="K124" i="6"/>
  <c r="L122" i="6"/>
  <c r="F151" i="6"/>
  <c r="F152" i="6" s="1"/>
  <c r="L130" i="6"/>
  <c r="L128" i="6"/>
  <c r="L126" i="6"/>
  <c r="L127" i="6"/>
  <c r="L129" i="6"/>
  <c r="L120" i="6"/>
  <c r="L138" i="6"/>
  <c r="L137" i="6"/>
  <c r="L135" i="6"/>
  <c r="L136" i="6"/>
  <c r="M117" i="6"/>
  <c r="M121" i="6" s="1"/>
  <c r="J149" i="6" l="1"/>
  <c r="L146" i="6"/>
  <c r="L147" i="6" s="1"/>
  <c r="M123" i="6"/>
  <c r="L131" i="6"/>
  <c r="K132" i="6"/>
  <c r="K148" i="6" s="1"/>
  <c r="L124" i="6"/>
  <c r="M122" i="6"/>
  <c r="G151" i="6"/>
  <c r="G152" i="6" s="1"/>
  <c r="F153" i="6"/>
  <c r="M129" i="6"/>
  <c r="M127" i="6"/>
  <c r="M130" i="6"/>
  <c r="M128" i="6"/>
  <c r="M126" i="6"/>
  <c r="M120" i="6"/>
  <c r="M138" i="6"/>
  <c r="M136" i="6"/>
  <c r="M135" i="6"/>
  <c r="M137" i="6"/>
  <c r="N117" i="6"/>
  <c r="N121" i="6" s="1"/>
  <c r="K149" i="6" l="1"/>
  <c r="M146" i="6"/>
  <c r="M147" i="6" s="1"/>
  <c r="N123" i="6"/>
  <c r="M131" i="6"/>
  <c r="L132" i="6"/>
  <c r="L148" i="6" s="1"/>
  <c r="M124" i="6"/>
  <c r="N122" i="6"/>
  <c r="G153" i="6"/>
  <c r="H151" i="6"/>
  <c r="N129" i="6"/>
  <c r="N127" i="6"/>
  <c r="N130" i="6"/>
  <c r="N128" i="6"/>
  <c r="N126" i="6"/>
  <c r="N120" i="6"/>
  <c r="N138" i="6"/>
  <c r="N136" i="6"/>
  <c r="N137" i="6"/>
  <c r="N135" i="6"/>
  <c r="O117" i="6"/>
  <c r="O121" i="6" s="1"/>
  <c r="L149" i="6" l="1"/>
  <c r="N146" i="6"/>
  <c r="N147" i="6" s="1"/>
  <c r="O123" i="6"/>
  <c r="N131" i="6"/>
  <c r="M132" i="6"/>
  <c r="M148" i="6" s="1"/>
  <c r="N124" i="6"/>
  <c r="O122" i="6"/>
  <c r="I151" i="6"/>
  <c r="H152" i="6"/>
  <c r="O130" i="6"/>
  <c r="O128" i="6"/>
  <c r="O126" i="6"/>
  <c r="O129" i="6"/>
  <c r="O127" i="6"/>
  <c r="O120" i="6"/>
  <c r="O138" i="6"/>
  <c r="O137" i="6"/>
  <c r="O136" i="6"/>
  <c r="O135" i="6"/>
  <c r="P117" i="6"/>
  <c r="P121" i="6" s="1"/>
  <c r="M149" i="6" l="1"/>
  <c r="O146" i="6"/>
  <c r="O147" i="6" s="1"/>
  <c r="P123" i="6"/>
  <c r="N132" i="6"/>
  <c r="N148" i="6" s="1"/>
  <c r="O131" i="6"/>
  <c r="O124" i="6"/>
  <c r="P122" i="6"/>
  <c r="J151" i="6"/>
  <c r="I152" i="6"/>
  <c r="H153" i="6"/>
  <c r="P130" i="6"/>
  <c r="P128" i="6"/>
  <c r="P129" i="6"/>
  <c r="P126" i="6"/>
  <c r="P127" i="6"/>
  <c r="P120" i="6"/>
  <c r="P138" i="6"/>
  <c r="P137" i="6"/>
  <c r="P135" i="6"/>
  <c r="P136" i="6"/>
  <c r="Q117" i="6"/>
  <c r="Q121" i="6" s="1"/>
  <c r="N149" i="6" l="1"/>
  <c r="P146" i="6"/>
  <c r="P147" i="6" s="1"/>
  <c r="P131" i="6"/>
  <c r="Q123" i="6"/>
  <c r="O132" i="6"/>
  <c r="O148" i="6" s="1"/>
  <c r="O149" i="6" s="1"/>
  <c r="P124" i="6"/>
  <c r="P132" i="6" s="1"/>
  <c r="J152" i="6"/>
  <c r="J153" i="6" s="1"/>
  <c r="Q122" i="6"/>
  <c r="I153" i="6"/>
  <c r="K151" i="6"/>
  <c r="Q129" i="6"/>
  <c r="Q127" i="6"/>
  <c r="Q130" i="6"/>
  <c r="Q128" i="6"/>
  <c r="Q126" i="6"/>
  <c r="Q120" i="6"/>
  <c r="Q137" i="6"/>
  <c r="Q135" i="6"/>
  <c r="Q138" i="6"/>
  <c r="Q136" i="6"/>
  <c r="R117" i="6"/>
  <c r="R121" i="6" s="1"/>
  <c r="Q146" i="6" l="1"/>
  <c r="Q147" i="6" s="1"/>
  <c r="R123" i="6"/>
  <c r="Q131" i="6"/>
  <c r="P148" i="6"/>
  <c r="P149" i="6" s="1"/>
  <c r="Q124" i="6"/>
  <c r="R122" i="6"/>
  <c r="L151" i="6"/>
  <c r="K152" i="6"/>
  <c r="R129" i="6"/>
  <c r="R127" i="6"/>
  <c r="R126" i="6"/>
  <c r="R130" i="6"/>
  <c r="R120" i="6"/>
  <c r="R128" i="6"/>
  <c r="R136" i="6"/>
  <c r="R137" i="6"/>
  <c r="R135" i="6"/>
  <c r="R138" i="6"/>
  <c r="S117" i="6"/>
  <c r="S121" i="6" s="1"/>
  <c r="R146" i="6" l="1"/>
  <c r="R147" i="6" s="1"/>
  <c r="S123" i="6"/>
  <c r="Q132" i="6"/>
  <c r="Q148" i="6" s="1"/>
  <c r="Q149" i="6" s="1"/>
  <c r="R131" i="6"/>
  <c r="R124" i="6"/>
  <c r="S122" i="6"/>
  <c r="L152" i="6"/>
  <c r="L153" i="6" s="1"/>
  <c r="M151" i="6"/>
  <c r="K153" i="6"/>
  <c r="S130" i="6"/>
  <c r="S128" i="6"/>
  <c r="S129" i="6"/>
  <c r="S127" i="6"/>
  <c r="S126" i="6"/>
  <c r="S120" i="6"/>
  <c r="S138" i="6"/>
  <c r="S137" i="6"/>
  <c r="S136" i="6"/>
  <c r="S135" i="6"/>
  <c r="T117" i="6"/>
  <c r="T121" i="6" s="1"/>
  <c r="S146" i="6" l="1"/>
  <c r="S147" i="6" s="1"/>
  <c r="T123" i="6"/>
  <c r="R132" i="6"/>
  <c r="R148" i="6" s="1"/>
  <c r="R149" i="6" s="1"/>
  <c r="S131" i="6"/>
  <c r="S124" i="6"/>
  <c r="T122" i="6"/>
  <c r="N151" i="6"/>
  <c r="M152" i="6"/>
  <c r="T130" i="6"/>
  <c r="T128" i="6"/>
  <c r="T129" i="6"/>
  <c r="T127" i="6"/>
  <c r="T126" i="6"/>
  <c r="T120" i="6"/>
  <c r="T138" i="6"/>
  <c r="T137" i="6"/>
  <c r="T136" i="6"/>
  <c r="T135" i="6"/>
  <c r="U117" i="6"/>
  <c r="U121" i="6" s="1"/>
  <c r="T146" i="6" l="1"/>
  <c r="T147" i="6" s="1"/>
  <c r="U123" i="6"/>
  <c r="T131" i="6"/>
  <c r="S132" i="6"/>
  <c r="S148" i="6" s="1"/>
  <c r="S149" i="6" s="1"/>
  <c r="T124" i="6"/>
  <c r="U122" i="6"/>
  <c r="N152" i="6"/>
  <c r="N153" i="6" s="1"/>
  <c r="O151" i="6"/>
  <c r="M153" i="6"/>
  <c r="U129" i="6"/>
  <c r="U127" i="6"/>
  <c r="U130" i="6"/>
  <c r="U128" i="6"/>
  <c r="U126" i="6"/>
  <c r="U120" i="6"/>
  <c r="U138" i="6"/>
  <c r="U135" i="6"/>
  <c r="U137" i="6"/>
  <c r="U136" i="6"/>
  <c r="V117" i="6"/>
  <c r="V121" i="6" s="1"/>
  <c r="V123" i="6" l="1"/>
  <c r="U146" i="6"/>
  <c r="U147" i="6" s="1"/>
  <c r="T132" i="6"/>
  <c r="T148" i="6" s="1"/>
  <c r="T149" i="6" s="1"/>
  <c r="U131" i="6"/>
  <c r="U124" i="6"/>
  <c r="V122" i="6"/>
  <c r="O152" i="6"/>
  <c r="O153" i="6" s="1"/>
  <c r="P151" i="6"/>
  <c r="V129" i="6"/>
  <c r="V127" i="6"/>
  <c r="V128" i="6"/>
  <c r="V126" i="6"/>
  <c r="V120" i="6"/>
  <c r="V130" i="6"/>
  <c r="V135" i="6"/>
  <c r="V138" i="6"/>
  <c r="V137" i="6"/>
  <c r="V136" i="6"/>
  <c r="W117" i="6"/>
  <c r="W121" i="6" s="1"/>
  <c r="V146" i="6" l="1"/>
  <c r="V147" i="6" s="1"/>
  <c r="W123" i="6"/>
  <c r="U132" i="6"/>
  <c r="U148" i="6" s="1"/>
  <c r="U149" i="6" s="1"/>
  <c r="V131" i="6"/>
  <c r="V124" i="6"/>
  <c r="W122" i="6"/>
  <c r="P152" i="6"/>
  <c r="P153" i="6" s="1"/>
  <c r="Q151" i="6"/>
  <c r="W130" i="6"/>
  <c r="W128" i="6"/>
  <c r="W129" i="6"/>
  <c r="W127" i="6"/>
  <c r="W126" i="6"/>
  <c r="W120" i="6"/>
  <c r="W138" i="6"/>
  <c r="W137" i="6"/>
  <c r="W136" i="6"/>
  <c r="W135" i="6"/>
  <c r="X117" i="6"/>
  <c r="X121" i="6" s="1"/>
  <c r="X123" i="6" l="1"/>
  <c r="W146" i="6"/>
  <c r="W147" i="6" s="1"/>
  <c r="V132" i="6"/>
  <c r="V148" i="6" s="1"/>
  <c r="V149" i="6" s="1"/>
  <c r="W131" i="6"/>
  <c r="W124" i="6"/>
  <c r="X122" i="6"/>
  <c r="R151" i="6"/>
  <c r="Q152" i="6"/>
  <c r="X130" i="6"/>
  <c r="X128" i="6"/>
  <c r="X129" i="6"/>
  <c r="X126" i="6"/>
  <c r="X127" i="6"/>
  <c r="X120" i="6"/>
  <c r="X138" i="6"/>
  <c r="X137" i="6"/>
  <c r="X136" i="6"/>
  <c r="X135" i="6"/>
  <c r="Y117" i="6"/>
  <c r="Y121" i="6" s="1"/>
  <c r="X146" i="6" l="1"/>
  <c r="X147" i="6" s="1"/>
  <c r="Y123" i="6"/>
  <c r="W132" i="6"/>
  <c r="W148" i="6" s="1"/>
  <c r="W149" i="6" s="1"/>
  <c r="X131" i="6"/>
  <c r="X124" i="6"/>
  <c r="Y122" i="6"/>
  <c r="R152" i="6"/>
  <c r="R153" i="6" s="1"/>
  <c r="Q153" i="6"/>
  <c r="S151" i="6"/>
  <c r="Y129" i="6"/>
  <c r="Y127" i="6"/>
  <c r="Y130" i="6"/>
  <c r="Y128" i="6"/>
  <c r="Y126" i="6"/>
  <c r="Y120" i="6"/>
  <c r="Y137" i="6"/>
  <c r="Y136" i="6"/>
  <c r="Y138" i="6"/>
  <c r="Y135" i="6"/>
  <c r="Z117" i="6"/>
  <c r="Z121" i="6" s="1"/>
  <c r="Y146" i="6" l="1"/>
  <c r="Y147" i="6" s="1"/>
  <c r="Z123" i="6"/>
  <c r="Y131" i="6"/>
  <c r="X132" i="6"/>
  <c r="X148" i="6" s="1"/>
  <c r="X149" i="6" s="1"/>
  <c r="Y124" i="6"/>
  <c r="Z122" i="6"/>
  <c r="S152" i="6"/>
  <c r="T151" i="6"/>
  <c r="Z129" i="6"/>
  <c r="Z127" i="6"/>
  <c r="Z130" i="6"/>
  <c r="Z128" i="6"/>
  <c r="Z126" i="6"/>
  <c r="Z120" i="6"/>
  <c r="Z137" i="6"/>
  <c r="Z138" i="6"/>
  <c r="Z135" i="6"/>
  <c r="Z136" i="6"/>
  <c r="AA117" i="6"/>
  <c r="AA121" i="6" s="1"/>
  <c r="Z146" i="6" l="1"/>
  <c r="Z147" i="6" s="1"/>
  <c r="AA123" i="6"/>
  <c r="Y132" i="6"/>
  <c r="Y148" i="6" s="1"/>
  <c r="Y149" i="6" s="1"/>
  <c r="Z131" i="6"/>
  <c r="Z124" i="6"/>
  <c r="AA122" i="6"/>
  <c r="U151" i="6"/>
  <c r="T152" i="6"/>
  <c r="S153" i="6"/>
  <c r="AA130" i="6"/>
  <c r="AA128" i="6"/>
  <c r="AA129" i="6"/>
  <c r="AA127" i="6"/>
  <c r="AA126" i="6"/>
  <c r="AA120" i="6"/>
  <c r="AA138" i="6"/>
  <c r="AA137" i="6"/>
  <c r="AA136" i="6"/>
  <c r="AA135" i="6"/>
  <c r="AB117" i="6"/>
  <c r="AB121" i="6" s="1"/>
  <c r="AA146" i="6" l="1"/>
  <c r="AA147" i="6" s="1"/>
  <c r="AB123" i="6"/>
  <c r="Z132" i="6"/>
  <c r="Z148" i="6" s="1"/>
  <c r="Z149" i="6" s="1"/>
  <c r="AA131" i="6"/>
  <c r="AA124" i="6"/>
  <c r="AB122" i="6"/>
  <c r="U152" i="6"/>
  <c r="U153" i="6" s="1"/>
  <c r="T153" i="6"/>
  <c r="V151" i="6"/>
  <c r="AB130" i="6"/>
  <c r="AB128" i="6"/>
  <c r="AB127" i="6"/>
  <c r="AB129" i="6"/>
  <c r="AB126" i="6"/>
  <c r="AB120" i="6"/>
  <c r="AB138" i="6"/>
  <c r="AB137" i="6"/>
  <c r="AB135" i="6"/>
  <c r="AB136" i="6"/>
  <c r="AC117" i="6"/>
  <c r="AC121" i="6" s="1"/>
  <c r="AC123" i="6" l="1"/>
  <c r="AB146" i="6"/>
  <c r="AB147" i="6" s="1"/>
  <c r="AA132" i="6"/>
  <c r="AA148" i="6" s="1"/>
  <c r="AA149" i="6" s="1"/>
  <c r="AB124" i="6"/>
  <c r="AB131" i="6"/>
  <c r="AC122" i="6"/>
  <c r="V152" i="6"/>
  <c r="W151" i="6"/>
  <c r="AC129" i="6"/>
  <c r="AC127" i="6"/>
  <c r="AC130" i="6"/>
  <c r="AC128" i="6"/>
  <c r="AC126" i="6"/>
  <c r="AC120" i="6"/>
  <c r="AC138" i="6"/>
  <c r="AC136" i="6"/>
  <c r="AC135" i="6"/>
  <c r="AC137" i="6"/>
  <c r="AD117" i="6"/>
  <c r="AD121" i="6" s="1"/>
  <c r="AC146" i="6" l="1"/>
  <c r="AC147" i="6" s="1"/>
  <c r="AD123" i="6"/>
  <c r="AB132" i="6"/>
  <c r="AB148" i="6" s="1"/>
  <c r="AB149" i="6" s="1"/>
  <c r="AC131" i="6"/>
  <c r="AC124" i="6"/>
  <c r="AD122" i="6"/>
  <c r="X151" i="6"/>
  <c r="W152" i="6"/>
  <c r="V153" i="6"/>
  <c r="AD129" i="6"/>
  <c r="AD130" i="6"/>
  <c r="AD126" i="6"/>
  <c r="AD128" i="6"/>
  <c r="AD127" i="6"/>
  <c r="AD120" i="6"/>
  <c r="AD138" i="6"/>
  <c r="AD136" i="6"/>
  <c r="AD137" i="6"/>
  <c r="AD135" i="6"/>
  <c r="AE117" i="6"/>
  <c r="AE121" i="6" s="1"/>
  <c r="AD146" i="6" l="1"/>
  <c r="AE123" i="6"/>
  <c r="AD147" i="6"/>
  <c r="AC132" i="6"/>
  <c r="AC148" i="6" s="1"/>
  <c r="AC149" i="6" s="1"/>
  <c r="AD131" i="6"/>
  <c r="AD124" i="6"/>
  <c r="AE122" i="6"/>
  <c r="X152" i="6"/>
  <c r="X153" i="6" s="1"/>
  <c r="Y151" i="6"/>
  <c r="W153" i="6"/>
  <c r="AE130" i="6"/>
  <c r="AE128" i="6"/>
  <c r="AE129" i="6"/>
  <c r="AE126" i="6"/>
  <c r="AE127" i="6"/>
  <c r="AE120" i="6"/>
  <c r="AE138" i="6"/>
  <c r="AE137" i="6"/>
  <c r="AE136" i="6"/>
  <c r="AE135" i="6"/>
  <c r="AF117" i="6"/>
  <c r="AF121" i="6" s="1"/>
  <c r="AE146" i="6" l="1"/>
  <c r="AE147" i="6" s="1"/>
  <c r="AF146" i="6"/>
  <c r="AF123" i="6"/>
  <c r="AF147" i="6"/>
  <c r="AD132" i="6"/>
  <c r="AD148" i="6" s="1"/>
  <c r="AD149" i="6" s="1"/>
  <c r="AE131" i="6"/>
  <c r="AE124" i="6"/>
  <c r="AF122" i="6"/>
  <c r="Z151" i="6"/>
  <c r="Y152" i="6"/>
  <c r="AF130" i="6"/>
  <c r="AF128" i="6"/>
  <c r="AF129" i="6"/>
  <c r="AF127" i="6"/>
  <c r="AF126" i="6"/>
  <c r="AF120" i="6"/>
  <c r="AF138" i="6"/>
  <c r="AF137" i="6"/>
  <c r="AF135" i="6"/>
  <c r="AF136" i="6"/>
  <c r="AG117" i="6"/>
  <c r="AG121" i="6" s="1"/>
  <c r="AG146" i="6" l="1"/>
  <c r="AG123" i="6"/>
  <c r="AG147" i="6"/>
  <c r="AF131" i="6"/>
  <c r="AE132" i="6"/>
  <c r="AE148" i="6" s="1"/>
  <c r="AE149" i="6" s="1"/>
  <c r="AE151" i="6" s="1"/>
  <c r="AF124" i="6"/>
  <c r="AG122" i="6"/>
  <c r="Z152" i="6"/>
  <c r="Z153" i="6" s="1"/>
  <c r="Y153" i="6"/>
  <c r="AA151" i="6"/>
  <c r="AG129" i="6"/>
  <c r="AG127" i="6"/>
  <c r="AG130" i="6"/>
  <c r="AG128" i="6"/>
  <c r="AG126" i="6"/>
  <c r="AG120" i="6"/>
  <c r="AG137" i="6"/>
  <c r="AG135" i="6"/>
  <c r="AG138" i="6"/>
  <c r="AG136" i="6"/>
  <c r="AH117" i="6"/>
  <c r="AH121" i="6" s="1"/>
  <c r="AH147" i="6" l="1"/>
  <c r="AH123" i="6"/>
  <c r="AH146" i="6"/>
  <c r="AG131" i="6"/>
  <c r="AF132" i="6"/>
  <c r="AF148" i="6" s="1"/>
  <c r="AF149" i="6" s="1"/>
  <c r="AG124" i="6"/>
  <c r="AG132" i="6" s="1"/>
  <c r="AH122" i="6"/>
  <c r="AB151" i="6"/>
  <c r="AA152" i="6"/>
  <c r="AH129" i="6"/>
  <c r="AH127" i="6"/>
  <c r="AH126" i="6"/>
  <c r="AH130" i="6"/>
  <c r="AH120" i="6"/>
  <c r="AH128" i="6"/>
  <c r="AH136" i="6"/>
  <c r="AH137" i="6"/>
  <c r="AH135" i="6"/>
  <c r="AH138" i="6"/>
  <c r="AI117" i="6"/>
  <c r="AI121" i="6" s="1"/>
  <c r="AI123" i="6" l="1"/>
  <c r="AI147" i="6"/>
  <c r="AI146" i="6"/>
  <c r="AH124" i="6"/>
  <c r="AF151" i="6"/>
  <c r="AH131" i="6"/>
  <c r="AG148" i="6"/>
  <c r="AG149" i="6" s="1"/>
  <c r="AG151" i="6" s="1"/>
  <c r="AI122" i="6"/>
  <c r="AB152" i="6"/>
  <c r="AB153" i="6" s="1"/>
  <c r="AC151" i="6"/>
  <c r="AA153" i="6"/>
  <c r="AI130" i="6"/>
  <c r="AI128" i="6"/>
  <c r="AI129" i="6"/>
  <c r="AI127" i="6"/>
  <c r="AI126" i="6"/>
  <c r="AI120" i="6"/>
  <c r="AI138" i="6"/>
  <c r="AI137" i="6"/>
  <c r="AI136" i="6"/>
  <c r="AI135" i="6"/>
  <c r="AJ117" i="6"/>
  <c r="AJ121" i="6" s="1"/>
  <c r="AJ146" i="6" l="1"/>
  <c r="AJ123" i="6"/>
  <c r="AJ147" i="6"/>
  <c r="AH132" i="6"/>
  <c r="AH148" i="6" s="1"/>
  <c r="AH149" i="6" s="1"/>
  <c r="AH151" i="6" s="1"/>
  <c r="AI131" i="6"/>
  <c r="AC152" i="6"/>
  <c r="AC153" i="6" s="1"/>
  <c r="AI124" i="6"/>
  <c r="AJ122" i="6"/>
  <c r="AD151" i="6"/>
  <c r="AJ130" i="6"/>
  <c r="AJ128" i="6"/>
  <c r="AJ129" i="6"/>
  <c r="AJ127" i="6"/>
  <c r="AJ126" i="6"/>
  <c r="AJ120" i="6"/>
  <c r="AJ124" i="6" s="1"/>
  <c r="AJ138" i="6"/>
  <c r="AJ137" i="6"/>
  <c r="AJ136" i="6"/>
  <c r="AJ135" i="6"/>
  <c r="AK117" i="6"/>
  <c r="AK121" i="6" s="1"/>
  <c r="AK146" i="6" l="1"/>
  <c r="AK123" i="6"/>
  <c r="AK147" i="6"/>
  <c r="AI132" i="6"/>
  <c r="AI148" i="6"/>
  <c r="AI149" i="6" s="1"/>
  <c r="AI151" i="6" s="1"/>
  <c r="AJ131" i="6"/>
  <c r="AJ132" i="6" s="1"/>
  <c r="AK122" i="6"/>
  <c r="AD152" i="6"/>
  <c r="AE152" i="6" s="1"/>
  <c r="AF152" i="6" s="1"/>
  <c r="AK129" i="6"/>
  <c r="AK127" i="6"/>
  <c r="AK130" i="6"/>
  <c r="AK128" i="6"/>
  <c r="AK126" i="6"/>
  <c r="AK120" i="6"/>
  <c r="AK138" i="6"/>
  <c r="AK137" i="6"/>
  <c r="AK135" i="6"/>
  <c r="AK136" i="6"/>
  <c r="AL117" i="6"/>
  <c r="AL121" i="6" s="1"/>
  <c r="AL147" i="6" l="1"/>
  <c r="AL146" i="6"/>
  <c r="AL123" i="6"/>
  <c r="AK124" i="6"/>
  <c r="AJ148" i="6"/>
  <c r="AJ149" i="6" s="1"/>
  <c r="AJ151" i="6" s="1"/>
  <c r="AK131" i="6"/>
  <c r="AK132" i="6" s="1"/>
  <c r="AE153" i="6"/>
  <c r="AL122" i="6"/>
  <c r="AD153" i="6"/>
  <c r="AL129" i="6"/>
  <c r="AL128" i="6"/>
  <c r="AL127" i="6"/>
  <c r="AL126" i="6"/>
  <c r="AL120" i="6"/>
  <c r="AL130" i="6"/>
  <c r="AL135" i="6"/>
  <c r="AL138" i="6"/>
  <c r="AL136" i="6"/>
  <c r="AL137" i="6"/>
  <c r="AM117" i="6"/>
  <c r="AM121" i="6" s="1"/>
  <c r="AM123" i="6" l="1"/>
  <c r="AM147" i="6"/>
  <c r="AM146" i="6"/>
  <c r="AL124" i="6"/>
  <c r="AL131" i="6"/>
  <c r="AF153" i="6"/>
  <c r="AG152" i="6"/>
  <c r="AK148" i="6"/>
  <c r="AK149" i="6" s="1"/>
  <c r="AK151" i="6" s="1"/>
  <c r="AM122" i="6"/>
  <c r="AM130" i="6"/>
  <c r="AM128" i="6"/>
  <c r="AM129" i="6"/>
  <c r="AM127" i="6"/>
  <c r="AM126" i="6"/>
  <c r="AM120" i="6"/>
  <c r="AM138" i="6"/>
  <c r="AM137" i="6"/>
  <c r="AM136" i="6"/>
  <c r="AM135" i="6"/>
  <c r="AN117" i="6"/>
  <c r="AN121" i="6" s="1"/>
  <c r="AN146" i="6" l="1"/>
  <c r="AN123" i="6"/>
  <c r="AN147" i="6"/>
  <c r="AM124" i="6"/>
  <c r="AM131" i="6"/>
  <c r="AM132" i="6" s="1"/>
  <c r="AL132" i="6"/>
  <c r="AL148" i="6" s="1"/>
  <c r="AL149" i="6" s="1"/>
  <c r="AL151" i="6" s="1"/>
  <c r="AG153" i="6"/>
  <c r="AH152" i="6"/>
  <c r="AN122" i="6"/>
  <c r="AN130" i="6"/>
  <c r="AN128" i="6"/>
  <c r="AN129" i="6"/>
  <c r="AN127" i="6"/>
  <c r="AN126" i="6"/>
  <c r="AN120" i="6"/>
  <c r="AN124" i="6" s="1"/>
  <c r="AN138" i="6"/>
  <c r="AN137" i="6"/>
  <c r="AN136" i="6"/>
  <c r="AN135" i="6"/>
  <c r="AO117" i="6"/>
  <c r="AO121" i="6" s="1"/>
  <c r="AO146" i="6" l="1"/>
  <c r="AO123" i="6"/>
  <c r="AO147" i="6"/>
  <c r="AN131" i="6"/>
  <c r="AN132" i="6" s="1"/>
  <c r="AM148" i="6"/>
  <c r="AM149" i="6" s="1"/>
  <c r="AM151" i="6" s="1"/>
  <c r="AH153" i="6"/>
  <c r="AI152" i="6"/>
  <c r="AO122" i="6"/>
  <c r="AO129" i="6"/>
  <c r="AO127" i="6"/>
  <c r="AO130" i="6"/>
  <c r="AO128" i="6"/>
  <c r="AO126" i="6"/>
  <c r="AO120" i="6"/>
  <c r="AO137" i="6"/>
  <c r="AO136" i="6"/>
  <c r="AO138" i="6"/>
  <c r="AO135" i="6"/>
  <c r="AP117" i="6"/>
  <c r="AP121" i="6" s="1"/>
  <c r="AP147" i="6" l="1"/>
  <c r="AP123" i="6"/>
  <c r="AP146" i="6"/>
  <c r="AO124" i="6"/>
  <c r="AO132" i="6" s="1"/>
  <c r="AO131" i="6"/>
  <c r="AN148" i="6"/>
  <c r="AN149" i="6" s="1"/>
  <c r="AN151" i="6" s="1"/>
  <c r="AI153" i="6"/>
  <c r="AJ152" i="6"/>
  <c r="AP122" i="6"/>
  <c r="AP129" i="6"/>
  <c r="AP130" i="6"/>
  <c r="AP128" i="6"/>
  <c r="AP126" i="6"/>
  <c r="AP120" i="6"/>
  <c r="AP127" i="6"/>
  <c r="AP137" i="6"/>
  <c r="AP135" i="6"/>
  <c r="AP136" i="6"/>
  <c r="AP138" i="6"/>
  <c r="AQ117" i="6"/>
  <c r="AQ121" i="6" s="1"/>
  <c r="AQ123" i="6" l="1"/>
  <c r="AQ147" i="6"/>
  <c r="AQ146" i="6"/>
  <c r="AP124" i="6"/>
  <c r="AP131" i="6"/>
  <c r="AP132" i="6" s="1"/>
  <c r="AJ153" i="6"/>
  <c r="AK152" i="6"/>
  <c r="AO148" i="6"/>
  <c r="AO149" i="6" s="1"/>
  <c r="AO151" i="6" s="1"/>
  <c r="AQ122" i="6"/>
  <c r="AQ130" i="6"/>
  <c r="AQ128" i="6"/>
  <c r="AQ129" i="6"/>
  <c r="AQ127" i="6"/>
  <c r="AQ126" i="6"/>
  <c r="AQ120" i="6"/>
  <c r="AQ138" i="6"/>
  <c r="AQ137" i="6"/>
  <c r="AQ136" i="6"/>
  <c r="AQ135" i="6"/>
  <c r="AR117" i="6"/>
  <c r="AR121" i="6" s="1"/>
  <c r="AR146" i="6" l="1"/>
  <c r="AR123" i="6"/>
  <c r="AR147" i="6"/>
  <c r="AP148" i="6"/>
  <c r="AP149" i="6" s="1"/>
  <c r="AP151" i="6" s="1"/>
  <c r="AQ124" i="6"/>
  <c r="AQ131" i="6"/>
  <c r="AK153" i="6"/>
  <c r="AL152" i="6"/>
  <c r="AR122" i="6"/>
  <c r="AR130" i="6"/>
  <c r="AR128" i="6"/>
  <c r="AR127" i="6"/>
  <c r="AR129" i="6"/>
  <c r="AR126" i="6"/>
  <c r="AR120" i="6"/>
  <c r="AR124" i="6" s="1"/>
  <c r="AR138" i="6"/>
  <c r="AR135" i="6"/>
  <c r="AR136" i="6"/>
  <c r="AR137" i="6"/>
  <c r="AS117" i="6"/>
  <c r="AS121" i="6" s="1"/>
  <c r="AS146" i="6" l="1"/>
  <c r="AS147" i="6"/>
  <c r="AS123" i="6"/>
  <c r="AQ132" i="6"/>
  <c r="AQ148" i="6" s="1"/>
  <c r="AQ149" i="6" s="1"/>
  <c r="AQ151" i="6" s="1"/>
  <c r="AR131" i="6"/>
  <c r="AR132" i="6" s="1"/>
  <c r="AL153" i="6"/>
  <c r="AM152" i="6"/>
  <c r="AS122" i="6"/>
  <c r="AS129" i="6"/>
  <c r="AS127" i="6"/>
  <c r="AS130" i="6"/>
  <c r="AS128" i="6"/>
  <c r="AS126" i="6"/>
  <c r="AS120" i="6"/>
  <c r="AS138" i="6"/>
  <c r="AS136" i="6"/>
  <c r="AS135" i="6"/>
  <c r="AS137" i="6"/>
  <c r="AT117" i="6"/>
  <c r="AT121" i="6" s="1"/>
  <c r="AT147" i="6" l="1"/>
  <c r="AT146" i="6"/>
  <c r="AT123" i="6"/>
  <c r="AS124" i="6"/>
  <c r="AS132" i="6" s="1"/>
  <c r="AS131" i="6"/>
  <c r="AR148" i="6"/>
  <c r="AR149" i="6" s="1"/>
  <c r="AR151" i="6" s="1"/>
  <c r="AN152" i="6"/>
  <c r="AM153" i="6"/>
  <c r="AT122" i="6"/>
  <c r="AT129" i="6"/>
  <c r="AT130" i="6"/>
  <c r="AT126" i="6"/>
  <c r="AT128" i="6"/>
  <c r="AT127" i="6"/>
  <c r="AT120" i="6"/>
  <c r="AS148" i="6"/>
  <c r="AS149" i="6" s="1"/>
  <c r="AS151" i="6" s="1"/>
  <c r="AT137" i="6"/>
  <c r="AT138" i="6"/>
  <c r="AT136" i="6"/>
  <c r="AT135" i="6"/>
  <c r="AU117" i="6"/>
  <c r="AU121" i="6" s="1"/>
  <c r="AU123" i="6" l="1"/>
  <c r="AU147" i="6"/>
  <c r="AU146" i="6"/>
  <c r="AT124" i="6"/>
  <c r="AT132" i="6" s="1"/>
  <c r="AT131" i="6"/>
  <c r="AN153" i="6"/>
  <c r="AO152" i="6"/>
  <c r="AU122" i="6"/>
  <c r="AU130" i="6"/>
  <c r="AU128" i="6"/>
  <c r="AU129" i="6"/>
  <c r="AU126" i="6"/>
  <c r="AU120" i="6"/>
  <c r="AU127" i="6"/>
  <c r="AU138" i="6"/>
  <c r="AU137" i="6"/>
  <c r="AU136" i="6"/>
  <c r="AU135" i="6"/>
  <c r="AV117" i="6"/>
  <c r="AV121" i="6" s="1"/>
  <c r="AV146" i="6" l="1"/>
  <c r="AV123" i="6"/>
  <c r="AV147" i="6"/>
  <c r="AU131" i="6"/>
  <c r="AT148" i="6"/>
  <c r="AT149" i="6" s="1"/>
  <c r="AT151" i="6" s="1"/>
  <c r="AU124" i="6"/>
  <c r="AO153" i="6"/>
  <c r="AP152" i="6"/>
  <c r="AV122" i="6"/>
  <c r="AV130" i="6"/>
  <c r="AV128" i="6"/>
  <c r="AV129" i="6"/>
  <c r="AV127" i="6"/>
  <c r="AV126" i="6"/>
  <c r="AV120" i="6"/>
  <c r="AV138" i="6"/>
  <c r="AV137" i="6"/>
  <c r="AV135" i="6"/>
  <c r="AV136" i="6"/>
  <c r="AW117" i="6"/>
  <c r="AW121" i="6" s="1"/>
  <c r="AW146" i="6" l="1"/>
  <c r="AW123" i="6"/>
  <c r="AW147" i="6"/>
  <c r="AV124" i="6"/>
  <c r="AU132" i="6"/>
  <c r="AV131" i="6"/>
  <c r="AU148" i="6"/>
  <c r="AU149" i="6" s="1"/>
  <c r="AU151" i="6" s="1"/>
  <c r="AP153" i="6"/>
  <c r="AQ152" i="6"/>
  <c r="AW122" i="6"/>
  <c r="AW129" i="6"/>
  <c r="AW127" i="6"/>
  <c r="AW130" i="6"/>
  <c r="AW128" i="6"/>
  <c r="AW126" i="6"/>
  <c r="AW120" i="6"/>
  <c r="AW135" i="6"/>
  <c r="AW138" i="6"/>
  <c r="AW136" i="6"/>
  <c r="AW137" i="6"/>
  <c r="AX117" i="6"/>
  <c r="AX121" i="6" s="1"/>
  <c r="AX147" i="6" l="1"/>
  <c r="AX123" i="6"/>
  <c r="AX146" i="6"/>
  <c r="AV132" i="6"/>
  <c r="AV148" i="6" s="1"/>
  <c r="AV149" i="6" s="1"/>
  <c r="AV151" i="6" s="1"/>
  <c r="AW131" i="6"/>
  <c r="AW124" i="6"/>
  <c r="AQ153" i="6"/>
  <c r="AR152" i="6"/>
  <c r="AX122" i="6"/>
  <c r="AX129" i="6"/>
  <c r="AX127" i="6"/>
  <c r="AX126" i="6"/>
  <c r="AX130" i="6"/>
  <c r="AX120" i="6"/>
  <c r="AX128" i="6"/>
  <c r="AX136" i="6"/>
  <c r="AX135" i="6"/>
  <c r="AX137" i="6"/>
  <c r="AX138" i="6"/>
  <c r="AY117" i="6"/>
  <c r="AY121" i="6" s="1"/>
  <c r="AY123" i="6" l="1"/>
  <c r="AY147" i="6"/>
  <c r="AY146" i="6"/>
  <c r="AW132" i="6"/>
  <c r="AW148" i="6" s="1"/>
  <c r="AW149" i="6" s="1"/>
  <c r="AW151" i="6" s="1"/>
  <c r="AX131" i="6"/>
  <c r="AX124" i="6"/>
  <c r="AX132" i="6" s="1"/>
  <c r="AR153" i="6"/>
  <c r="AS152" i="6"/>
  <c r="AY122" i="6"/>
  <c r="AY130" i="6"/>
  <c r="AY128" i="6"/>
  <c r="AY129" i="6"/>
  <c r="AY127" i="6"/>
  <c r="AY131" i="6" s="1"/>
  <c r="AY126" i="6"/>
  <c r="AY120" i="6"/>
  <c r="AY138" i="6"/>
  <c r="AY137" i="6"/>
  <c r="AY136" i="6"/>
  <c r="AY135" i="6"/>
  <c r="AZ117" i="6"/>
  <c r="AZ121" i="6" s="1"/>
  <c r="AZ146" i="6" l="1"/>
  <c r="AZ123" i="6"/>
  <c r="AZ147" i="6"/>
  <c r="AX148" i="6"/>
  <c r="AX149" i="6" s="1"/>
  <c r="AX151" i="6" s="1"/>
  <c r="AY124" i="6"/>
  <c r="AY132" i="6" s="1"/>
  <c r="AS153" i="6"/>
  <c r="AT152" i="6"/>
  <c r="AZ122" i="6"/>
  <c r="AZ130" i="6"/>
  <c r="AZ128" i="6"/>
  <c r="AZ129" i="6"/>
  <c r="AZ126" i="6"/>
  <c r="AZ127" i="6"/>
  <c r="AZ120" i="6"/>
  <c r="AZ138" i="6"/>
  <c r="AZ137" i="6"/>
  <c r="AZ136" i="6"/>
  <c r="AZ135" i="6"/>
  <c r="BA117" i="6"/>
  <c r="BA121" i="6" s="1"/>
  <c r="BA146" i="6" l="1"/>
  <c r="BA123" i="6"/>
  <c r="BA147" i="6"/>
  <c r="AY148" i="6"/>
  <c r="AY149" i="6" s="1"/>
  <c r="AY151" i="6" s="1"/>
  <c r="AZ131" i="6"/>
  <c r="AZ124" i="6"/>
  <c r="AZ132" i="6" s="1"/>
  <c r="AU152" i="6"/>
  <c r="AT153" i="6"/>
  <c r="BA122" i="6"/>
  <c r="BA129" i="6"/>
  <c r="BA127" i="6"/>
  <c r="BA130" i="6"/>
  <c r="BA128" i="6"/>
  <c r="BA126" i="6"/>
  <c r="BA120" i="6"/>
  <c r="BA138" i="6"/>
  <c r="BA137" i="6"/>
  <c r="BA135" i="6"/>
  <c r="BA136" i="6"/>
  <c r="BB117" i="6"/>
  <c r="BB121" i="6" s="1"/>
  <c r="BB147" i="6" l="1"/>
  <c r="BB146" i="6"/>
  <c r="BB123" i="6"/>
  <c r="AZ148" i="6"/>
  <c r="AZ149" i="6" s="1"/>
  <c r="AZ151" i="6" s="1"/>
  <c r="BA131" i="6"/>
  <c r="BA124" i="6"/>
  <c r="BA132" i="6"/>
  <c r="BA148" i="6" s="1"/>
  <c r="BA149" i="6" s="1"/>
  <c r="BA151" i="6" s="1"/>
  <c r="AU153" i="6"/>
  <c r="AV152" i="6"/>
  <c r="BB122" i="6"/>
  <c r="BB129" i="6"/>
  <c r="BB128" i="6"/>
  <c r="BB127" i="6"/>
  <c r="BB126" i="6"/>
  <c r="BB130" i="6"/>
  <c r="BB120" i="6"/>
  <c r="BB135" i="6"/>
  <c r="BB138" i="6"/>
  <c r="BB136" i="6"/>
  <c r="BB137" i="6"/>
  <c r="BC117" i="6"/>
  <c r="BC121" i="6" s="1"/>
  <c r="BC123" i="6" l="1"/>
  <c r="BC147" i="6"/>
  <c r="BC146" i="6"/>
  <c r="BB131" i="6"/>
  <c r="BB124" i="6"/>
  <c r="AV153" i="6"/>
  <c r="AW152" i="6"/>
  <c r="BC122" i="6"/>
  <c r="BC130" i="6"/>
  <c r="BC128" i="6"/>
  <c r="BC129" i="6"/>
  <c r="BC127" i="6"/>
  <c r="BC126" i="6"/>
  <c r="BC120" i="6"/>
  <c r="BC138" i="6"/>
  <c r="BC137" i="6"/>
  <c r="BC136" i="6"/>
  <c r="BC135" i="6"/>
  <c r="BD117" i="6"/>
  <c r="BD121" i="6" s="1"/>
  <c r="BD146" i="6" l="1"/>
  <c r="BD123" i="6"/>
  <c r="BD147" i="6"/>
  <c r="BB148" i="6"/>
  <c r="BB149" i="6" s="1"/>
  <c r="BB151" i="6" s="1"/>
  <c r="BB132" i="6"/>
  <c r="BC124" i="6"/>
  <c r="BC131" i="6"/>
  <c r="AW153" i="6"/>
  <c r="AX152" i="6"/>
  <c r="BD122" i="6"/>
  <c r="BD130" i="6"/>
  <c r="BD128" i="6"/>
  <c r="BD129" i="6"/>
  <c r="BD127" i="6"/>
  <c r="BD126" i="6"/>
  <c r="BD120" i="6"/>
  <c r="BD138" i="6"/>
  <c r="BD136" i="6"/>
  <c r="BD135" i="6"/>
  <c r="BD137" i="6"/>
  <c r="BE117" i="6"/>
  <c r="BE121" i="6" s="1"/>
  <c r="BE146" i="6" l="1"/>
  <c r="BE123" i="6"/>
  <c r="BE147" i="6"/>
  <c r="BD124" i="6"/>
  <c r="BD132" i="6" s="1"/>
  <c r="BD131" i="6"/>
  <c r="BC132" i="6"/>
  <c r="BC148" i="6" s="1"/>
  <c r="BC149" i="6" s="1"/>
  <c r="BC151" i="6" s="1"/>
  <c r="AX153" i="6"/>
  <c r="AY152" i="6"/>
  <c r="BE122" i="6"/>
  <c r="BE129" i="6"/>
  <c r="BE127" i="6"/>
  <c r="BE130" i="6"/>
  <c r="BE128" i="6"/>
  <c r="BE126" i="6"/>
  <c r="BE120" i="6"/>
  <c r="BE137" i="6"/>
  <c r="BE136" i="6"/>
  <c r="BE138" i="6"/>
  <c r="BE135" i="6"/>
  <c r="BF117" i="6"/>
  <c r="BF121" i="6" s="1"/>
  <c r="BF147" i="6" l="1"/>
  <c r="BF123" i="6"/>
  <c r="BF146" i="6"/>
  <c r="BE131" i="6"/>
  <c r="BE124" i="6"/>
  <c r="AY153" i="6"/>
  <c r="AZ152" i="6"/>
  <c r="BD148" i="6"/>
  <c r="BD149" i="6" s="1"/>
  <c r="BD151" i="6" s="1"/>
  <c r="BF122" i="6"/>
  <c r="BF129" i="6"/>
  <c r="BF130" i="6"/>
  <c r="BF128" i="6"/>
  <c r="BF126" i="6"/>
  <c r="BF127" i="6"/>
  <c r="BF120" i="6"/>
  <c r="BF137" i="6"/>
  <c r="BF138" i="6"/>
  <c r="BF135" i="6"/>
  <c r="BF136" i="6"/>
  <c r="BG117" i="6"/>
  <c r="BG121" i="6" s="1"/>
  <c r="BG123" i="6" l="1"/>
  <c r="BG147" i="6"/>
  <c r="BG146" i="6"/>
  <c r="BF124" i="6"/>
  <c r="BF131" i="6"/>
  <c r="BE132" i="6"/>
  <c r="BE148" i="6" s="1"/>
  <c r="BE149" i="6" s="1"/>
  <c r="BE151" i="6" s="1"/>
  <c r="AZ153" i="6"/>
  <c r="BA152" i="6"/>
  <c r="BG122" i="6"/>
  <c r="BG130" i="6"/>
  <c r="BG128" i="6"/>
  <c r="BG129" i="6"/>
  <c r="BG127" i="6"/>
  <c r="BG126" i="6"/>
  <c r="BG120" i="6"/>
  <c r="BG138" i="6"/>
  <c r="BG137" i="6"/>
  <c r="BG136" i="6"/>
  <c r="BG135" i="6"/>
  <c r="BH117" i="6"/>
  <c r="BH121" i="6" s="1"/>
  <c r="BH146" i="6" l="1"/>
  <c r="BH123" i="6"/>
  <c r="BH147" i="6"/>
  <c r="BG124" i="6"/>
  <c r="BG132" i="6" s="1"/>
  <c r="BF132" i="6"/>
  <c r="BF148" i="6" s="1"/>
  <c r="BF149" i="6" s="1"/>
  <c r="BF151" i="6" s="1"/>
  <c r="BG131" i="6"/>
  <c r="BA153" i="6"/>
  <c r="BB152" i="6"/>
  <c r="BH122" i="6"/>
  <c r="BH130" i="6"/>
  <c r="BH128" i="6"/>
  <c r="BH127" i="6"/>
  <c r="BH129" i="6"/>
  <c r="BH126" i="6"/>
  <c r="BH120" i="6"/>
  <c r="BH138" i="6"/>
  <c r="BH135" i="6"/>
  <c r="BH136" i="6"/>
  <c r="BH137" i="6"/>
  <c r="BI117" i="6"/>
  <c r="BI121" i="6" s="1"/>
  <c r="BI146" i="6" l="1"/>
  <c r="BI147" i="6"/>
  <c r="BI123" i="6"/>
  <c r="BH131" i="6"/>
  <c r="BH124" i="6"/>
  <c r="BC152" i="6"/>
  <c r="BB153" i="6"/>
  <c r="BG148" i="6"/>
  <c r="BG149" i="6" s="1"/>
  <c r="BG151" i="6" s="1"/>
  <c r="BI122" i="6"/>
  <c r="BI129" i="6"/>
  <c r="BI127" i="6"/>
  <c r="BI130" i="6"/>
  <c r="BI128" i="6"/>
  <c r="BI126" i="6"/>
  <c r="BI120" i="6"/>
  <c r="BI138" i="6"/>
  <c r="BI136" i="6"/>
  <c r="BI135" i="6"/>
  <c r="BI137" i="6"/>
  <c r="BJ117" i="6"/>
  <c r="BJ121" i="6" s="1"/>
  <c r="BJ147" i="6" l="1"/>
  <c r="BJ146" i="6"/>
  <c r="BJ123" i="6"/>
  <c r="BH132" i="6"/>
  <c r="BH148" i="6" s="1"/>
  <c r="BH149" i="6" s="1"/>
  <c r="BH151" i="6" s="1"/>
  <c r="BI124" i="6"/>
  <c r="BI132" i="6" s="1"/>
  <c r="BI148" i="6" s="1"/>
  <c r="BI149" i="6" s="1"/>
  <c r="BI151" i="6" s="1"/>
  <c r="BI131" i="6"/>
  <c r="BC153" i="6"/>
  <c r="BD152" i="6"/>
  <c r="BJ122" i="6"/>
  <c r="BJ129" i="6"/>
  <c r="BJ130" i="6"/>
  <c r="BJ126" i="6"/>
  <c r="BJ128" i="6"/>
  <c r="BJ127" i="6"/>
  <c r="BJ120" i="6"/>
  <c r="BJ137" i="6"/>
  <c r="BJ138" i="6"/>
  <c r="BJ136" i="6"/>
  <c r="BJ135" i="6"/>
  <c r="BK117" i="6"/>
  <c r="BK121" i="6" s="1"/>
  <c r="BK123" i="6" l="1"/>
  <c r="BK147" i="6"/>
  <c r="BK146" i="6"/>
  <c r="BJ124" i="6"/>
  <c r="BJ131" i="6"/>
  <c r="BD153" i="6"/>
  <c r="BE152" i="6"/>
  <c r="BK122" i="6"/>
  <c r="BK130" i="6"/>
  <c r="BK128" i="6"/>
  <c r="BK129" i="6"/>
  <c r="BK126" i="6"/>
  <c r="BK120" i="6"/>
  <c r="BK127" i="6"/>
  <c r="BK138" i="6"/>
  <c r="BK137" i="6"/>
  <c r="BK136" i="6"/>
  <c r="BK135" i="6"/>
  <c r="BL117" i="6"/>
  <c r="BL121" i="6" s="1"/>
  <c r="BL146" i="6" l="1"/>
  <c r="BL123" i="6"/>
  <c r="BL147" i="6"/>
  <c r="BK124" i="6"/>
  <c r="BJ132" i="6"/>
  <c r="BJ148" i="6"/>
  <c r="BJ149" i="6" s="1"/>
  <c r="BJ151" i="6" s="1"/>
  <c r="BK131" i="6"/>
  <c r="BK132" i="6" s="1"/>
  <c r="BE153" i="6"/>
  <c r="BF152" i="6"/>
  <c r="BL122" i="6"/>
  <c r="BL130" i="6"/>
  <c r="BL128" i="6"/>
  <c r="BL129" i="6"/>
  <c r="BL127" i="6"/>
  <c r="BL126" i="6"/>
  <c r="BL120" i="6"/>
  <c r="BL138" i="6"/>
  <c r="BL137" i="6"/>
  <c r="BL135" i="6"/>
  <c r="BL136" i="6"/>
  <c r="BM117" i="6"/>
  <c r="BM121" i="6" s="1"/>
  <c r="E121" i="6" s="1"/>
  <c r="E145" i="6" l="1"/>
  <c r="E143" i="6"/>
  <c r="E141" i="6"/>
  <c r="BM146" i="6"/>
  <c r="E140" i="6"/>
  <c r="BM123" i="6"/>
  <c r="E123" i="6" s="1"/>
  <c r="E144" i="6"/>
  <c r="BM147" i="6"/>
  <c r="BK148" i="6"/>
  <c r="BK149" i="6" s="1"/>
  <c r="BK151" i="6" s="1"/>
  <c r="BL124" i="6"/>
  <c r="BL131" i="6"/>
  <c r="BF153" i="6"/>
  <c r="BG152" i="6"/>
  <c r="BM122" i="6"/>
  <c r="E122" i="6" s="1"/>
  <c r="BM129" i="6"/>
  <c r="E129" i="6" s="1"/>
  <c r="BM127" i="6"/>
  <c r="E127" i="6" s="1"/>
  <c r="BM130" i="6"/>
  <c r="E130" i="6" s="1"/>
  <c r="BM128" i="6"/>
  <c r="E128" i="6" s="1"/>
  <c r="BM126" i="6"/>
  <c r="E126" i="6" s="1"/>
  <c r="BM120" i="6"/>
  <c r="E120" i="6" s="1"/>
  <c r="E142" i="6"/>
  <c r="BM135" i="6"/>
  <c r="E135" i="6" s="1"/>
  <c r="BM138" i="6"/>
  <c r="E138" i="6" s="1"/>
  <c r="BM136" i="6"/>
  <c r="E136" i="6" s="1"/>
  <c r="BM137" i="6"/>
  <c r="E137" i="6" s="1"/>
  <c r="BL132" i="6" l="1"/>
  <c r="BL148" i="6"/>
  <c r="BL149" i="6" s="1"/>
  <c r="E146" i="6"/>
  <c r="BG153" i="6"/>
  <c r="BH152" i="6"/>
  <c r="BM124" i="6"/>
  <c r="E124" i="6" s="1"/>
  <c r="BM131" i="6"/>
  <c r="E60" i="13"/>
  <c r="E82" i="13" s="1"/>
  <c r="E83" i="13" s="1"/>
  <c r="BL151" i="6" l="1"/>
  <c r="BM132" i="6"/>
  <c r="BM148" i="6" s="1"/>
  <c r="BM149" i="6" s="1"/>
  <c r="BM151" i="6" s="1"/>
  <c r="BH153" i="6"/>
  <c r="BI152" i="6"/>
  <c r="D60" i="13"/>
  <c r="D16" i="6" l="1"/>
  <c r="BI153" i="6"/>
  <c r="BJ152" i="6"/>
  <c r="E84" i="13"/>
  <c r="F111" i="13" l="1"/>
  <c r="F116" i="13" s="1"/>
  <c r="F118" i="13" s="1"/>
  <c r="F122" i="13" s="1"/>
  <c r="F127" i="13" s="1"/>
  <c r="J22" i="13"/>
  <c r="BJ153" i="6"/>
  <c r="BK152" i="6"/>
  <c r="G111" i="13" l="1"/>
  <c r="G116" i="13" s="1"/>
  <c r="G141" i="13" s="1"/>
  <c r="BK153" i="6"/>
  <c r="BL152" i="6"/>
  <c r="F141" i="13"/>
  <c r="F143" i="13" s="1"/>
  <c r="F131" i="13"/>
  <c r="E144" i="13"/>
  <c r="G118" i="13" l="1"/>
  <c r="G122" i="13" s="1"/>
  <c r="G127" i="13" s="1"/>
  <c r="H111" i="13"/>
  <c r="H116" i="13" s="1"/>
  <c r="H141" i="13" s="1"/>
  <c r="BL153" i="6"/>
  <c r="BM152" i="6"/>
  <c r="BM153" i="6" s="1"/>
  <c r="F142" i="13"/>
  <c r="F144" i="13" s="1"/>
  <c r="H118" i="13"/>
  <c r="G143" i="13"/>
  <c r="G142" i="13"/>
  <c r="G131" i="13"/>
  <c r="I111" i="13"/>
  <c r="I116" i="13" s="1"/>
  <c r="E129" i="13"/>
  <c r="E132" i="13"/>
  <c r="D17" i="6" l="1"/>
  <c r="D18" i="6" s="1"/>
  <c r="D19" i="6"/>
  <c r="H131" i="13"/>
  <c r="H122" i="13"/>
  <c r="I118" i="13"/>
  <c r="I141" i="13"/>
  <c r="H143" i="13"/>
  <c r="H142" i="13"/>
  <c r="J111" i="13"/>
  <c r="J116" i="13" s="1"/>
  <c r="F129" i="13"/>
  <c r="F132" i="13"/>
  <c r="G144" i="13"/>
  <c r="I143" i="13" l="1"/>
  <c r="I142" i="13"/>
  <c r="J118" i="13"/>
  <c r="J141" i="13"/>
  <c r="I122" i="13"/>
  <c r="I131" i="13"/>
  <c r="G129" i="13"/>
  <c r="G132" i="13"/>
  <c r="H144" i="13"/>
  <c r="K111" i="13"/>
  <c r="K116" i="13" s="1"/>
  <c r="J142" i="13" l="1"/>
  <c r="J143" i="13"/>
  <c r="J122" i="13"/>
  <c r="J131" i="13"/>
  <c r="K118" i="13"/>
  <c r="K141" i="13"/>
  <c r="H127" i="13"/>
  <c r="H129" i="13" s="1"/>
  <c r="H132" i="13"/>
  <c r="I144" i="13"/>
  <c r="L111" i="13"/>
  <c r="L116" i="13" s="1"/>
  <c r="K131" i="13" l="1"/>
  <c r="K122" i="13"/>
  <c r="K143" i="13"/>
  <c r="K142" i="13"/>
  <c r="L118" i="13"/>
  <c r="L141" i="13"/>
  <c r="M111" i="13"/>
  <c r="M116" i="13" s="1"/>
  <c r="J144" i="13"/>
  <c r="I132" i="13"/>
  <c r="I127" i="13"/>
  <c r="I129" i="13" s="1"/>
  <c r="L143" i="13" l="1"/>
  <c r="L142" i="13"/>
  <c r="L131" i="13"/>
  <c r="L122" i="13"/>
  <c r="M118" i="13"/>
  <c r="M141" i="13"/>
  <c r="J132" i="13"/>
  <c r="J127" i="13"/>
  <c r="J129" i="13" s="1"/>
  <c r="K144" i="13"/>
  <c r="N111" i="13"/>
  <c r="N116" i="13" s="1"/>
  <c r="M143" i="13" l="1"/>
  <c r="M142" i="13"/>
  <c r="N118" i="13"/>
  <c r="N141" i="13"/>
  <c r="M122" i="13"/>
  <c r="M131" i="13"/>
  <c r="L144" i="13"/>
  <c r="K127" i="13"/>
  <c r="K129" i="13" s="1"/>
  <c r="K132" i="13"/>
  <c r="O111" i="13"/>
  <c r="O116" i="13" s="1"/>
  <c r="N143" i="13" l="1"/>
  <c r="N142" i="13"/>
  <c r="O118" i="13"/>
  <c r="O141" i="13"/>
  <c r="N122" i="13"/>
  <c r="N131" i="13"/>
  <c r="M144" i="13"/>
  <c r="P111" i="13"/>
  <c r="P116" i="13" s="1"/>
  <c r="L132" i="13"/>
  <c r="L127" i="13"/>
  <c r="L129" i="13" s="1"/>
  <c r="O143" i="13" l="1"/>
  <c r="O142" i="13"/>
  <c r="P118" i="13"/>
  <c r="P141" i="13"/>
  <c r="O131" i="13"/>
  <c r="O122" i="13"/>
  <c r="M127" i="13"/>
  <c r="M129" i="13" s="1"/>
  <c r="M132" i="13"/>
  <c r="N144" i="13"/>
  <c r="Q111" i="13"/>
  <c r="Q116" i="13" s="1"/>
  <c r="P143" i="13" l="1"/>
  <c r="P142" i="13"/>
  <c r="Q118" i="13"/>
  <c r="Q141" i="13"/>
  <c r="P131" i="13"/>
  <c r="P122" i="13"/>
  <c r="R111" i="13"/>
  <c r="R116" i="13" s="1"/>
  <c r="O144" i="13"/>
  <c r="N127" i="13"/>
  <c r="N129" i="13" s="1"/>
  <c r="N132" i="13"/>
  <c r="R118" i="13" l="1"/>
  <c r="R141" i="13"/>
  <c r="Q122" i="13"/>
  <c r="Q131" i="13"/>
  <c r="Q143" i="13"/>
  <c r="Q142" i="13"/>
  <c r="O127" i="13"/>
  <c r="O129" i="13" s="1"/>
  <c r="O132" i="13"/>
  <c r="P144" i="13"/>
  <c r="S111" i="13"/>
  <c r="S116" i="13" s="1"/>
  <c r="S118" i="13" l="1"/>
  <c r="S141" i="13"/>
  <c r="R143" i="13"/>
  <c r="R142" i="13"/>
  <c r="R122" i="13"/>
  <c r="R131" i="13"/>
  <c r="Q144" i="13"/>
  <c r="T111" i="13"/>
  <c r="T116" i="13" s="1"/>
  <c r="P132" i="13"/>
  <c r="P127" i="13"/>
  <c r="P129" i="13" s="1"/>
  <c r="T118" i="13" l="1"/>
  <c r="T141" i="13"/>
  <c r="S142" i="13"/>
  <c r="S143" i="13"/>
  <c r="S131" i="13"/>
  <c r="S122" i="13"/>
  <c r="R144" i="13"/>
  <c r="Q127" i="13"/>
  <c r="Q129" i="13" s="1"/>
  <c r="Q132" i="13"/>
  <c r="R152" i="13" l="1"/>
  <c r="Q150" i="13" s="1"/>
  <c r="T143" i="13"/>
  <c r="T142" i="13"/>
  <c r="T144" i="13" s="1"/>
  <c r="T131" i="13"/>
  <c r="T122" i="13"/>
  <c r="S144" i="13"/>
  <c r="R127" i="13"/>
  <c r="R129" i="13" s="1"/>
  <c r="R132" i="13"/>
  <c r="J24" i="13" l="1"/>
  <c r="S132" i="13"/>
  <c r="G152" i="13" s="1"/>
  <c r="F150" i="13" s="1"/>
  <c r="S127" i="13"/>
  <c r="S129" i="13" s="1"/>
  <c r="T127" i="13"/>
  <c r="T129" i="13" s="1"/>
  <c r="T132" i="13"/>
  <c r="J23" i="13" l="1"/>
  <c r="H41" i="16" l="1"/>
  <c r="G41" i="16" s="1"/>
  <c r="E39" i="16" s="1"/>
</calcChain>
</file>

<file path=xl/sharedStrings.xml><?xml version="1.0" encoding="utf-8"?>
<sst xmlns="http://schemas.openxmlformats.org/spreadsheetml/2006/main" count="807" uniqueCount="494">
  <si>
    <t>Landing Page</t>
  </si>
  <si>
    <t xml:space="preserve">Layout and Objectives of the Model </t>
  </si>
  <si>
    <t xml:space="preserve">How to use this Financial Model </t>
  </si>
  <si>
    <t xml:space="preserve">Name </t>
  </si>
  <si>
    <t xml:space="preserve">Purpose </t>
  </si>
  <si>
    <t xml:space="preserve">Example </t>
  </si>
  <si>
    <t xml:space="preserve">Input </t>
  </si>
  <si>
    <t>Indicates cells to be entered as numbers, words, or drop down fields to be chosen</t>
  </si>
  <si>
    <t>Input</t>
  </si>
  <si>
    <t xml:space="preserve">Outputs </t>
  </si>
  <si>
    <r>
      <t xml:space="preserve">Indicates cells that contain formulas/output calculations. Negative outputs are coloured </t>
    </r>
    <r>
      <rPr>
        <sz val="10"/>
        <color rgb="FFFF0000"/>
        <rFont val="Calibri"/>
        <family val="2"/>
        <scheme val="minor"/>
      </rPr>
      <t xml:space="preserve">(red). </t>
    </r>
  </si>
  <si>
    <r>
      <t xml:space="preserve">Output or </t>
    </r>
    <r>
      <rPr>
        <sz val="10"/>
        <color rgb="FFFF0000"/>
        <rFont val="Calibri"/>
        <family val="2"/>
        <scheme val="minor"/>
      </rPr>
      <t>(Output)</t>
    </r>
  </si>
  <si>
    <t xml:space="preserve">Indicates cells that contain key output information. </t>
  </si>
  <si>
    <t>Benchmarks</t>
  </si>
  <si>
    <t>Benchmark</t>
  </si>
  <si>
    <t>Name of Provider:</t>
  </si>
  <si>
    <t>Location/Region:</t>
  </si>
  <si>
    <t>Date of Analysis:</t>
  </si>
  <si>
    <t xml:space="preserve">Key notes from assessment </t>
  </si>
  <si>
    <t>Preliminary Feasibility Budget</t>
  </si>
  <si>
    <t xml:space="preserve">Project Costs </t>
  </si>
  <si>
    <t>1. Project Costs and Revenues</t>
  </si>
  <si>
    <t xml:space="preserve">Estimated Land Cost </t>
  </si>
  <si>
    <t xml:space="preserve">Land Price </t>
  </si>
  <si>
    <t xml:space="preserve">Acquisition Costs </t>
  </si>
  <si>
    <t xml:space="preserve">Total Land Cost </t>
  </si>
  <si>
    <t xml:space="preserve">Estimated Construction Cost </t>
  </si>
  <si>
    <t xml:space="preserve">Estimated Development Costs </t>
  </si>
  <si>
    <t>Development Costs</t>
  </si>
  <si>
    <t>Professional Fees</t>
  </si>
  <si>
    <t xml:space="preserve">Contingency </t>
  </si>
  <si>
    <t xml:space="preserve">Total Project Cost </t>
  </si>
  <si>
    <t xml:space="preserve">Total Revenue </t>
  </si>
  <si>
    <t>Less GST</t>
  </si>
  <si>
    <t>Less legal costs of sale*</t>
  </si>
  <si>
    <t xml:space="preserve">Net Revenue </t>
  </si>
  <si>
    <t xml:space="preserve">Project Surplus/Deficit at Completion </t>
  </si>
  <si>
    <t xml:space="preserve">2. Project Funding </t>
  </si>
  <si>
    <t>Equity in land to be developed</t>
  </si>
  <si>
    <t xml:space="preserve">Specify Source 2 </t>
  </si>
  <si>
    <t>Specify Source 3</t>
  </si>
  <si>
    <t>Specify Source 4</t>
  </si>
  <si>
    <t xml:space="preserve">Purpose: </t>
  </si>
  <si>
    <t xml:space="preserve">within the 15 year period. The below model calculates approximately how many years it will take for the household to build up enough equity and cash reserves to buy out the Provider's share in the property. </t>
  </si>
  <si>
    <t>The model uses the following criteria to determine when the household will be able to afford full home ownership:</t>
  </si>
  <si>
    <t xml:space="preserve">1. Base Data </t>
  </si>
  <si>
    <t xml:space="preserve">Add household/whānau name </t>
  </si>
  <si>
    <t xml:space="preserve">b. Provider Name </t>
  </si>
  <si>
    <t xml:space="preserve">Add Provider Name </t>
  </si>
  <si>
    <t xml:space="preserve">Urban Waikato/Bay of Plenty </t>
  </si>
  <si>
    <t>Couple with 3 dependent children</t>
  </si>
  <si>
    <t xml:space="preserve">Market Equivalent Rent </t>
  </si>
  <si>
    <t>Yes</t>
  </si>
  <si>
    <t xml:space="preserve">2. Eligibility Criteria Check </t>
  </si>
  <si>
    <t>No</t>
  </si>
  <si>
    <t xml:space="preserve">4. Household Finances </t>
  </si>
  <si>
    <t xml:space="preserve">a. Deposit </t>
  </si>
  <si>
    <t xml:space="preserve">b. Kiwisaver Funds </t>
  </si>
  <si>
    <t xml:space="preserve">d. Other </t>
  </si>
  <si>
    <t>Enter the Household 'Other Income' and Expenses in the table below, use the benchmark check for comparison</t>
  </si>
  <si>
    <t xml:space="preserve">Income </t>
  </si>
  <si>
    <t xml:space="preserve">Per Week </t>
  </si>
  <si>
    <t xml:space="preserve">Other Income </t>
  </si>
  <si>
    <t xml:space="preserve">Total Income </t>
  </si>
  <si>
    <t xml:space="preserve">Household Expenses </t>
  </si>
  <si>
    <t xml:space="preserve">Benchmark Check </t>
  </si>
  <si>
    <t>Food and Groceries</t>
  </si>
  <si>
    <t>Rent</t>
  </si>
  <si>
    <t>Mortgage</t>
  </si>
  <si>
    <t xml:space="preserve">Passenger Transport </t>
  </si>
  <si>
    <t xml:space="preserve">Gas/Electricity </t>
  </si>
  <si>
    <t xml:space="preserve">Telephone/mobile/internet services </t>
  </si>
  <si>
    <t>Clothing and footwear</t>
  </si>
  <si>
    <t>Rates</t>
  </si>
  <si>
    <t xml:space="preserve">House/content insurance </t>
  </si>
  <si>
    <t xml:space="preserve">Property maintenance </t>
  </si>
  <si>
    <t xml:space="preserve">Private vehicle costs </t>
  </si>
  <si>
    <t xml:space="preserve">Vehicle Insurance </t>
  </si>
  <si>
    <t xml:space="preserve">Medical Insurance </t>
  </si>
  <si>
    <t>Health/medical expenses</t>
  </si>
  <si>
    <t xml:space="preserve">Life Insurance </t>
  </si>
  <si>
    <t xml:space="preserve">Insurance other and combinations </t>
  </si>
  <si>
    <t xml:space="preserve">Childcare </t>
  </si>
  <si>
    <t xml:space="preserve">Additional loans/hire purchase </t>
  </si>
  <si>
    <t xml:space="preserve">Total Household Expenses </t>
  </si>
  <si>
    <t>Surplus (per week)</t>
  </si>
  <si>
    <t>Start of Y1</t>
  </si>
  <si>
    <t xml:space="preserve">End of Year </t>
  </si>
  <si>
    <t xml:space="preserve">Time of Application </t>
  </si>
  <si>
    <t xml:space="preserve">Estimated Purchase Price </t>
  </si>
  <si>
    <t>Market Equivalent Rent ($/week)</t>
  </si>
  <si>
    <t xml:space="preserve">Difference </t>
  </si>
  <si>
    <t xml:space="preserve">Loan to value % (LVR) </t>
  </si>
  <si>
    <t>Debt servicing % (DSR)</t>
  </si>
  <si>
    <t>Full Purchase</t>
  </si>
  <si>
    <t xml:space="preserve">Earliest point at which </t>
  </si>
  <si>
    <t>full purchase is possible</t>
  </si>
  <si>
    <t>Purpose:</t>
  </si>
  <si>
    <t>What is the anticipated Project 'Start Date'?</t>
  </si>
  <si>
    <t>What is the anticipated Project 'End Date'?</t>
  </si>
  <si>
    <t xml:space="preserve">Total Project Months </t>
  </si>
  <si>
    <t xml:space="preserve">Typology </t>
  </si>
  <si>
    <t xml:space="preserve">Yield Analysis </t>
  </si>
  <si>
    <t xml:space="preserve">Area Metrics </t>
  </si>
  <si>
    <t xml:space="preserve">Lot 1 </t>
  </si>
  <si>
    <t>1 Bed</t>
  </si>
  <si>
    <t xml:space="preserve">Number </t>
  </si>
  <si>
    <t>Floor Area (m²)</t>
  </si>
  <si>
    <t xml:space="preserve">Land Area (m²) </t>
  </si>
  <si>
    <t xml:space="preserve">Lot 2 </t>
  </si>
  <si>
    <t>Lot 3</t>
  </si>
  <si>
    <t>2 Bed</t>
  </si>
  <si>
    <t>Lot 4</t>
  </si>
  <si>
    <t>3 Bed</t>
  </si>
  <si>
    <t xml:space="preserve">Lot 5 </t>
  </si>
  <si>
    <t>4 Bed</t>
  </si>
  <si>
    <t xml:space="preserve">Lot 6 </t>
  </si>
  <si>
    <t>5 Bed</t>
  </si>
  <si>
    <t xml:space="preserve">Lot 7 </t>
  </si>
  <si>
    <t>6 Bed</t>
  </si>
  <si>
    <t xml:space="preserve">Lot 8 </t>
  </si>
  <si>
    <t xml:space="preserve">Total </t>
  </si>
  <si>
    <t xml:space="preserve">Lot 9 </t>
  </si>
  <si>
    <t>Lot 12</t>
  </si>
  <si>
    <t>Estimated Market Value</t>
  </si>
  <si>
    <t xml:space="preserve">Improvements </t>
  </si>
  <si>
    <t xml:space="preserve">Land </t>
  </si>
  <si>
    <t xml:space="preserve">$/dwg </t>
  </si>
  <si>
    <t>$/dwg</t>
  </si>
  <si>
    <t>Total $</t>
  </si>
  <si>
    <t xml:space="preserve">$/sqm </t>
  </si>
  <si>
    <t xml:space="preserve">Total Construction Cost </t>
  </si>
  <si>
    <t>Contingency</t>
  </si>
  <si>
    <t xml:space="preserve">Description/Source </t>
  </si>
  <si>
    <t>Rate</t>
  </si>
  <si>
    <t xml:space="preserve">Unit </t>
  </si>
  <si>
    <t xml:space="preserve">Direct Costs </t>
  </si>
  <si>
    <t xml:space="preserve">Total Land Purchase </t>
  </si>
  <si>
    <t>Land Purchase</t>
  </si>
  <si>
    <t xml:space="preserve">Legal, Valuation etc. </t>
  </si>
  <si>
    <t xml:space="preserve">Total Land Costs </t>
  </si>
  <si>
    <t>Site Civils &amp; Infrastructure</t>
  </si>
  <si>
    <t>Offsite Infrastructure</t>
  </si>
  <si>
    <t>Excavation/ Siteworks</t>
  </si>
  <si>
    <t>Road Works</t>
  </si>
  <si>
    <t>Fencing</t>
  </si>
  <si>
    <t xml:space="preserve">Pathways </t>
  </si>
  <si>
    <t>Demolition</t>
  </si>
  <si>
    <t>Disconnections</t>
  </si>
  <si>
    <t>Electricity</t>
  </si>
  <si>
    <t>Phone</t>
  </si>
  <si>
    <t xml:space="preserve">Water   </t>
  </si>
  <si>
    <t xml:space="preserve">Total Site Civils &amp; Infrastructure </t>
  </si>
  <si>
    <t xml:space="preserve">                      </t>
  </si>
  <si>
    <t>Valuation</t>
  </si>
  <si>
    <t>Council LIM</t>
  </si>
  <si>
    <t>Urban Design</t>
  </si>
  <si>
    <t>Architecture</t>
  </si>
  <si>
    <t>Engineering / infrastructure</t>
  </si>
  <si>
    <t>Landscape Design</t>
  </si>
  <si>
    <t>Project Management</t>
  </si>
  <si>
    <t>Legal</t>
  </si>
  <si>
    <t>Insurances</t>
  </si>
  <si>
    <t xml:space="preserve">Total Professional Fees </t>
  </si>
  <si>
    <t>Council Costs</t>
  </si>
  <si>
    <t>Subdivision Consent</t>
  </si>
  <si>
    <t>Resource Consent</t>
  </si>
  <si>
    <t>Building Consent</t>
  </si>
  <si>
    <t>Development Contributions</t>
  </si>
  <si>
    <t xml:space="preserve">Other Council Costs </t>
  </si>
  <si>
    <t xml:space="preserve">Total Council Costs </t>
  </si>
  <si>
    <t xml:space="preserve">Total Project Development Costs </t>
  </si>
  <si>
    <t>Development Cost Benchmarking</t>
  </si>
  <si>
    <t>Cost</t>
  </si>
  <si>
    <t>N/A</t>
  </si>
  <si>
    <t>Council Cost (excl. Development Contributions)</t>
  </si>
  <si>
    <t>Total Project Contingency</t>
  </si>
  <si>
    <t>10-20%</t>
  </si>
  <si>
    <t>1. The costs of development and construction are being met by the sources of revenue, funding and capital input, or;</t>
  </si>
  <si>
    <t xml:space="preserve">Key Outputs </t>
  </si>
  <si>
    <t xml:space="preserve">Output 1   </t>
  </si>
  <si>
    <t xml:space="preserve">Finance Requirement at Project End </t>
  </si>
  <si>
    <t xml:space="preserve">1. Development Cost Timing </t>
  </si>
  <si>
    <t>Development Cost</t>
  </si>
  <si>
    <t xml:space="preserve">Month Start </t>
  </si>
  <si>
    <t xml:space="preserve">Month End </t>
  </si>
  <si>
    <t xml:space="preserve">Settlement of Land Purchase </t>
  </si>
  <si>
    <t xml:space="preserve">2. Construction cost payment, and sale of household share timing </t>
  </si>
  <si>
    <t xml:space="preserve">Property Identification </t>
  </si>
  <si>
    <t xml:space="preserve">Legal Description/Reference </t>
  </si>
  <si>
    <t xml:space="preserve">Construction Cost </t>
  </si>
  <si>
    <t xml:space="preserve">Construction Start </t>
  </si>
  <si>
    <t>Lock up Month</t>
  </si>
  <si>
    <t>CCC</t>
  </si>
  <si>
    <t xml:space="preserve">Settlement </t>
  </si>
  <si>
    <t>Funding Payment - Quantum</t>
  </si>
  <si>
    <t xml:space="preserve">Construction Costs Quantum </t>
  </si>
  <si>
    <t>Acquisition Contract</t>
  </si>
  <si>
    <t>Lock up</t>
  </si>
  <si>
    <t xml:space="preserve">3. PHO Loan Calculations </t>
  </si>
  <si>
    <t xml:space="preserve">Quantum of PHO funding required per Typology </t>
  </si>
  <si>
    <t xml:space="preserve">Purchase Price </t>
  </si>
  <si>
    <t xml:space="preserve">% PHO Share </t>
  </si>
  <si>
    <t xml:space="preserve">Total PHO $ per dwg </t>
  </si>
  <si>
    <t xml:space="preserve">Acquisition Contract </t>
  </si>
  <si>
    <t xml:space="preserve">Lockup </t>
  </si>
  <si>
    <t xml:space="preserve">Completion </t>
  </si>
  <si>
    <t>Total PHO $ per typology</t>
  </si>
  <si>
    <t xml:space="preserve">Option 3: Acquisition and Construction </t>
  </si>
  <si>
    <t>Total funding per milestone</t>
  </si>
  <si>
    <t>Total PHO Funding Required</t>
  </si>
  <si>
    <t xml:space="preserve">Funding and Capital </t>
  </si>
  <si>
    <t>%</t>
  </si>
  <si>
    <t xml:space="preserve">Month </t>
  </si>
  <si>
    <t xml:space="preserve">MHUD PHO Loan </t>
  </si>
  <si>
    <t xml:space="preserve">Provider Cash Contribution </t>
  </si>
  <si>
    <t xml:space="preserve">Other Source </t>
  </si>
  <si>
    <t>Total Funding and Capital Sources</t>
  </si>
  <si>
    <t>PROJECT CASHFLOW</t>
  </si>
  <si>
    <t xml:space="preserve">Check </t>
  </si>
  <si>
    <t xml:space="preserve">Development Costs </t>
  </si>
  <si>
    <t>Construction Costs</t>
  </si>
  <si>
    <t>Total Construction and Development Costs</t>
  </si>
  <si>
    <t xml:space="preserve">Profit/Loss per month </t>
  </si>
  <si>
    <t>Cumulative Project Surplus/Deficit</t>
  </si>
  <si>
    <t>Loan Milestones and drawdown</t>
  </si>
  <si>
    <t xml:space="preserve">Cumulative Provider Loan Requirement </t>
  </si>
  <si>
    <t xml:space="preserve">Cumulative Interest Cover </t>
  </si>
  <si>
    <t xml:space="preserve">Provider Lending Required to Cover Deficits </t>
  </si>
  <si>
    <t xml:space="preserve">Interest Rate </t>
  </si>
  <si>
    <t xml:space="preserve">Area </t>
  </si>
  <si>
    <t>Household make up</t>
  </si>
  <si>
    <t>Kiwisaver %</t>
  </si>
  <si>
    <t xml:space="preserve">Approach </t>
  </si>
  <si>
    <t xml:space="preserve">Provider </t>
  </si>
  <si>
    <t xml:space="preserve">Owned </t>
  </si>
  <si>
    <t xml:space="preserve">Shared Equity </t>
  </si>
  <si>
    <t>Market Value</t>
  </si>
  <si>
    <t>Developer</t>
  </si>
  <si>
    <t>To be purchased</t>
  </si>
  <si>
    <t xml:space="preserve">Option 1: On Completion </t>
  </si>
  <si>
    <t xml:space="preserve">Rent to Buy </t>
  </si>
  <si>
    <t>Add Legal description/RT/identifier</t>
  </si>
  <si>
    <t xml:space="preserve">Discounted Price </t>
  </si>
  <si>
    <t xml:space="preserve">Option 2: Turnkey Development </t>
  </si>
  <si>
    <t>Leasehold</t>
  </si>
  <si>
    <t>Option 4: Construction only (if you already own site)</t>
  </si>
  <si>
    <t xml:space="preserve">Urban Auckland </t>
  </si>
  <si>
    <t>Average weekly household expenditure ($)</t>
  </si>
  <si>
    <t xml:space="preserve">Location </t>
  </si>
  <si>
    <t>Household Type</t>
  </si>
  <si>
    <t xml:space="preserve">Combined </t>
  </si>
  <si>
    <t>Couple Only</t>
  </si>
  <si>
    <t>Couple with 1 dependent child</t>
  </si>
  <si>
    <t>Couple with 2 dependent children</t>
  </si>
  <si>
    <t>1 parent with dependent child(ren)</t>
  </si>
  <si>
    <t>1 person</t>
  </si>
  <si>
    <t>1 parent with dependent child (ren)</t>
  </si>
  <si>
    <t xml:space="preserve">Urban Wellington </t>
  </si>
  <si>
    <t xml:space="preserve">Rest of Urban North Island </t>
  </si>
  <si>
    <t xml:space="preserve">Couple with 2 dependent children </t>
  </si>
  <si>
    <t xml:space="preserve">Couple with 3 dependent children </t>
  </si>
  <si>
    <t xml:space="preserve">1 person </t>
  </si>
  <si>
    <t xml:space="preserve">Urban South Island </t>
  </si>
  <si>
    <t xml:space="preserve">Rural </t>
  </si>
  <si>
    <t xml:space="preserve">The table below calculates if/when the household will be in a position to acquire the balance share of the property from the provider. </t>
  </si>
  <si>
    <t xml:space="preserve">The purpose of this tab is to capture all of the project inputs in terms of revenues, development and construction costs. </t>
  </si>
  <si>
    <t>Person 1</t>
  </si>
  <si>
    <t>Person 2</t>
  </si>
  <si>
    <t>Person 3</t>
  </si>
  <si>
    <t>Person 4</t>
  </si>
  <si>
    <t xml:space="preserve">Kiwisaver Contribution </t>
  </si>
  <si>
    <t>Salary (Before Tax)</t>
  </si>
  <si>
    <t>Year in which full home ownership may be achieved?</t>
  </si>
  <si>
    <t xml:space="preserve">The purpose of this tab is to demonstrate whether a household/Whānau is able to achieve full home ownership within 15 years, and therefore enable the provider to payback the PHO Loan </t>
  </si>
  <si>
    <t>Potential Household/Whānau Savings (per annum)</t>
  </si>
  <si>
    <t>Please fill out the green shaded boxes below:</t>
  </si>
  <si>
    <t>Weekly Income (after tax and kiwisaver)</t>
  </si>
  <si>
    <r>
      <t xml:space="preserve">a. Applicant Name </t>
    </r>
    <r>
      <rPr>
        <sz val="11"/>
        <color theme="0" tint="-0.34998626667073579"/>
        <rFont val="Calibri"/>
        <family val="2"/>
        <scheme val="minor"/>
      </rPr>
      <t>(Add household/whānau name)</t>
    </r>
  </si>
  <si>
    <r>
      <t xml:space="preserve">c. Property Identifier </t>
    </r>
    <r>
      <rPr>
        <sz val="11"/>
        <color theme="0" tint="-0.34998626667073579"/>
        <rFont val="Calibri"/>
        <family val="2"/>
        <scheme val="minor"/>
      </rPr>
      <t>(Enter Address, Legal Description etc.)</t>
    </r>
  </si>
  <si>
    <r>
      <t xml:space="preserve">d. Location for Benchmarking </t>
    </r>
    <r>
      <rPr>
        <sz val="11"/>
        <color theme="0" tint="-0.34998626667073579"/>
        <rFont val="Calibri"/>
        <family val="2"/>
        <scheme val="minor"/>
      </rPr>
      <t>(Select from list)</t>
    </r>
  </si>
  <si>
    <r>
      <t xml:space="preserve">e. Household Description </t>
    </r>
    <r>
      <rPr>
        <sz val="11"/>
        <color theme="0" tint="-0.34998626667073579"/>
        <rFont val="Calibri"/>
        <family val="2"/>
        <scheme val="minor"/>
      </rPr>
      <t>(Select from list)</t>
    </r>
  </si>
  <si>
    <r>
      <t xml:space="preserve">a. Is the applicant over 18? </t>
    </r>
    <r>
      <rPr>
        <sz val="11"/>
        <color theme="0" tint="-0.34998626667073579"/>
        <rFont val="Calibri"/>
        <family val="2"/>
        <scheme val="minor"/>
      </rPr>
      <t>(Select Yes or No)</t>
    </r>
  </si>
  <si>
    <r>
      <t xml:space="preserve">b. Does the applicant already own a home? </t>
    </r>
    <r>
      <rPr>
        <sz val="11"/>
        <color theme="0" tint="-0.34998626667073579"/>
        <rFont val="Calibri"/>
        <family val="2"/>
        <scheme val="minor"/>
      </rPr>
      <t>(Select Yes or No)</t>
    </r>
  </si>
  <si>
    <t>c. Is total household income less than or equal to $130,000 before tax?</t>
  </si>
  <si>
    <r>
      <t xml:space="preserve">Other </t>
    </r>
    <r>
      <rPr>
        <sz val="11"/>
        <color theme="0" tint="-0.34998626667073579"/>
        <rFont val="Calibri"/>
        <family val="2"/>
        <scheme val="minor"/>
      </rPr>
      <t>(please specify)</t>
    </r>
  </si>
  <si>
    <t>Please enter the following inputs in the green shaded boxes:</t>
  </si>
  <si>
    <t>Property Reference 
(Please Specify)</t>
  </si>
  <si>
    <t xml:space="preserve">Typology
(Select from list) </t>
  </si>
  <si>
    <t>Contingency (%)</t>
  </si>
  <si>
    <t xml:space="preserve">Please fill in the green shaded boxes below, these numbers will drive the cashflow in the following section. </t>
  </si>
  <si>
    <t xml:space="preserve">Please select from Development Option 3 or Option 4 in the green shaded box below to determine the drawdown milestones of the PHO loan payment. </t>
  </si>
  <si>
    <r>
      <t xml:space="preserve">Development Option
</t>
    </r>
    <r>
      <rPr>
        <b/>
        <sz val="11"/>
        <color theme="0" tint="-0.34998626667073579"/>
        <rFont val="Calibri"/>
        <family val="2"/>
        <scheme val="minor"/>
      </rPr>
      <t>(Select from List)</t>
    </r>
  </si>
  <si>
    <t xml:space="preserve">Maximum Finance Requirement </t>
  </si>
  <si>
    <t xml:space="preserve">Month of maximum finance requirement </t>
  </si>
  <si>
    <t xml:space="preserve">Project Details </t>
  </si>
  <si>
    <t>Output</t>
  </si>
  <si>
    <t xml:space="preserve">Estimated Construction Costs </t>
  </si>
  <si>
    <t xml:space="preserve">Affordable Housing Model - Rent to Buy </t>
  </si>
  <si>
    <t>Household Market Rent (weekly)</t>
  </si>
  <si>
    <t>Household Rent to Buy (Annual)</t>
  </si>
  <si>
    <t xml:space="preserve">Rent to Buy Breakdown </t>
  </si>
  <si>
    <t>Management Fee</t>
  </si>
  <si>
    <t xml:space="preserve">Insurance </t>
  </si>
  <si>
    <t>Maintenance</t>
  </si>
  <si>
    <t xml:space="preserve">Grounds keeping </t>
  </si>
  <si>
    <t xml:space="preserve">Total Fees deducted by Provider </t>
  </si>
  <si>
    <t xml:space="preserve">Net Surplus for Equity Saving </t>
  </si>
  <si>
    <t xml:space="preserve">Annual Contribution to Equity Share </t>
  </si>
  <si>
    <t>Market Value, Purchase Price, Household &amp; Provider Capital</t>
  </si>
  <si>
    <t>Capital Gain (Total)</t>
  </si>
  <si>
    <t>Provider Share</t>
  </si>
  <si>
    <t>Household/Whānau Share</t>
  </si>
  <si>
    <t>Cumulative Household Savings (Cumulative)</t>
  </si>
  <si>
    <t>Cumulative Household Savings - Provider on Behalf (Cumulative)</t>
  </si>
  <si>
    <t>Kiwisaver funds available (Cumulative)</t>
  </si>
  <si>
    <t xml:space="preserve">Additional grants </t>
  </si>
  <si>
    <t>Total Household/Whanau Funds for deposit purposes</t>
  </si>
  <si>
    <t xml:space="preserve">Household/Whanau Loan Requirement </t>
  </si>
  <si>
    <t xml:space="preserve">Income, Expenses and Debt Servicing </t>
  </si>
  <si>
    <t xml:space="preserve">Household/Whānau Income </t>
  </si>
  <si>
    <t xml:space="preserve">Test Rate </t>
  </si>
  <si>
    <t xml:space="preserve">Term of Loan </t>
  </si>
  <si>
    <t>Rates, Insurance (per annum)</t>
  </si>
  <si>
    <t xml:space="preserve">Affordability Benchmarks </t>
  </si>
  <si>
    <t>Weekly household outgoings (rates, insurance, mortgage)</t>
  </si>
  <si>
    <t>Share of the Property</t>
  </si>
  <si>
    <t xml:space="preserve">Third Party Loan Requirement </t>
  </si>
  <si>
    <t>Mortgage Repayments</t>
  </si>
  <si>
    <t>Loan to Value %(LVR)</t>
  </si>
  <si>
    <t>Debt Servicing % (DSR)</t>
  </si>
  <si>
    <t>Part Purchase</t>
  </si>
  <si>
    <t>purchase is possible</t>
  </si>
  <si>
    <t>6. Rent to Buy - Rental Calculation</t>
  </si>
  <si>
    <t>Total Household Finance at Year 1</t>
  </si>
  <si>
    <t xml:space="preserve">Estimated Market Value </t>
  </si>
  <si>
    <t xml:space="preserve">a. Market Value at Year 1 </t>
  </si>
  <si>
    <r>
      <t xml:space="preserve">c. Buy in Price - Will this be Market Value or a Discounted Purchase Price? </t>
    </r>
    <r>
      <rPr>
        <sz val="11"/>
        <color theme="0" tint="-0.34998626667073579"/>
        <rFont val="Calibri"/>
        <family val="2"/>
        <scheme val="minor"/>
      </rPr>
      <t>(Select from list)</t>
    </r>
  </si>
  <si>
    <t>Year in which a part share in the home may be achieved?</t>
  </si>
  <si>
    <t xml:space="preserve">Rent to Buy Rental Payment </t>
  </si>
  <si>
    <t xml:space="preserve">Rental per Week </t>
  </si>
  <si>
    <t xml:space="preserve">Rates Est. Annual </t>
  </si>
  <si>
    <t xml:space="preserve">Maintenance </t>
  </si>
  <si>
    <t xml:space="preserve">Groundskeeping </t>
  </si>
  <si>
    <t xml:space="preserve">Contribution to Provider Lending </t>
  </si>
  <si>
    <t xml:space="preserve">Weekly Interest Repayment </t>
  </si>
  <si>
    <t xml:space="preserve">Finance Option </t>
  </si>
  <si>
    <t xml:space="preserve">Finance Option 1 </t>
  </si>
  <si>
    <t>Finance Option 2</t>
  </si>
  <si>
    <t xml:space="preserve">1. Rental per Typology </t>
  </si>
  <si>
    <t xml:space="preserve">2. Costs per Typology per annum </t>
  </si>
  <si>
    <t xml:space="preserve">Annual Rates Estimate </t>
  </si>
  <si>
    <t>Please fill in the green shaded boxes as follows:</t>
  </si>
  <si>
    <t xml:space="preserve">3. Provider Lending Calculations </t>
  </si>
  <si>
    <t xml:space="preserve">Total Annual Rental </t>
  </si>
  <si>
    <t>Average Contribution Required Per Household/Whānau</t>
  </si>
  <si>
    <t>Household/Whānau Rental Calculations</t>
  </si>
  <si>
    <t xml:space="preserve">Project Feasibility and Household/Whānau Affordability Financial Model
Rent to Buy  </t>
  </si>
  <si>
    <r>
      <t xml:space="preserve">b. What is the discounted purchase price, if agreed? </t>
    </r>
    <r>
      <rPr>
        <sz val="11"/>
        <color theme="0" tint="-0.34998626667073579"/>
        <rFont val="Calibri"/>
        <family val="2"/>
        <scheme val="minor"/>
      </rPr>
      <t>(Enter the Market Value if a discounted price is not agreed)</t>
    </r>
  </si>
  <si>
    <t xml:space="preserve">a. House Price Inflation </t>
  </si>
  <si>
    <t>b. Capital Gain Share</t>
  </si>
  <si>
    <t xml:space="preserve">c. CPI inflation </t>
  </si>
  <si>
    <t>c. CPI Inflation - Enter the most up to date estimate of the Consumer Price Index (CPI)</t>
  </si>
  <si>
    <t xml:space="preserve">d. Loan Terms </t>
  </si>
  <si>
    <t>e. Market Equivalent Rent</t>
  </si>
  <si>
    <t>e. Market Equivalent Rent - Enter an estimate of the Market Rent for an equivalent home for comparison purposes</t>
  </si>
  <si>
    <t>f. Shared Equity Buy In</t>
  </si>
  <si>
    <t xml:space="preserve">Estimated Annual Interest Repayment </t>
  </si>
  <si>
    <t xml:space="preserve">3. Dwelling Market Value and Purchase Price </t>
  </si>
  <si>
    <r>
      <t xml:space="preserve">g. Household/Whānau Income (Before Tax) </t>
    </r>
    <r>
      <rPr>
        <sz val="11"/>
        <color theme="0" tint="-0.34998626667073579"/>
        <rFont val="Calibri"/>
        <family val="2"/>
        <scheme val="minor"/>
      </rPr>
      <t>(please specify below and select the kiwisaver contribution from the list, if any)</t>
    </r>
  </si>
  <si>
    <t xml:space="preserve">Enter the Household/Whānau sources to determine the level of deposit at Year 1. </t>
  </si>
  <si>
    <r>
      <t xml:space="preserve">1. Debt Servicing Ratio (DSR %) of </t>
    </r>
    <r>
      <rPr>
        <b/>
        <sz val="11"/>
        <color theme="1"/>
        <rFont val="Calibri"/>
        <family val="2"/>
        <scheme val="minor"/>
      </rPr>
      <t>&lt;30%</t>
    </r>
    <r>
      <rPr>
        <sz val="11"/>
        <color theme="1"/>
        <rFont val="Calibri"/>
        <family val="2"/>
        <scheme val="minor"/>
      </rPr>
      <t xml:space="preserve"> - The DSR % is the % of income that is attributed to debt servicing, rates and insurance. </t>
    </r>
  </si>
  <si>
    <t xml:space="preserve">Enter the weekly rental and an estimate of the operating expenses of the tenancy the Provider will need to account for on a weekly basis. </t>
  </si>
  <si>
    <t xml:space="preserve">a. House Price Inflation -  Enter an estimate of House Price Inflation (this could be based on the 10 year average for the region). </t>
  </si>
  <si>
    <t xml:space="preserve">b. Capital Gain Share - please specify the share of the capital gain that will be attributed to the provider and the household/whānau during the rent to buy period. </t>
  </si>
  <si>
    <t xml:space="preserve">d. Loan Terms - Please specify the loan term and interest rate used to calculate an estimate of the Mortgage Repayments on the Loan Requirement at each year during the 15 year term.  </t>
  </si>
  <si>
    <t xml:space="preserve">The purpose of this tab is to capture the flow of funds (funding and capital input) against the costs of development and construction, to demonstrate either: </t>
  </si>
  <si>
    <t xml:space="preserve">This tab can be used to calculate an appropriate level of rental to be charged to the households/whānau over the Rent to Buy period. The provider will need to ensure that the rental covers the operating costs, provides cover for provider </t>
  </si>
  <si>
    <t xml:space="preserve">lending repayments and sets aside some of the rental as equity savings for the household (if they so choose). </t>
  </si>
  <si>
    <r>
      <t>Total Provider Lending at Completion</t>
    </r>
    <r>
      <rPr>
        <sz val="11"/>
        <color theme="0" tint="-0.34998626667073579"/>
        <rFont val="Calibri"/>
        <family val="2"/>
        <scheme val="minor"/>
      </rPr>
      <t xml:space="preserve"> </t>
    </r>
  </si>
  <si>
    <t xml:space="preserve">The model below assumes interest only lending. </t>
  </si>
  <si>
    <t xml:space="preserve">If the rental does not cover the operating expenses, provider loan repayments and equity set aside (if chosen), then the provider will need another source of income. </t>
  </si>
  <si>
    <t xml:space="preserve">7. Full Home Ownership Assessment </t>
  </si>
  <si>
    <t xml:space="preserve">Preliminary Project Feasibility </t>
  </si>
  <si>
    <t>Lot 10</t>
  </si>
  <si>
    <t xml:space="preserve">Lot 11 </t>
  </si>
  <si>
    <t xml:space="preserve">2. That the provider will require third party lending to meet the months of deficit, and the amount of third party lending required. </t>
  </si>
  <si>
    <r>
      <t xml:space="preserve">Is this a provider led development or a developer led development? </t>
    </r>
    <r>
      <rPr>
        <sz val="11"/>
        <color theme="0" tint="-0.34998626667073579"/>
        <rFont val="Calibri"/>
        <family val="2"/>
        <scheme val="minor"/>
      </rPr>
      <t>(Select from the drop down)</t>
    </r>
  </si>
  <si>
    <t xml:space="preserve">Provider Led </t>
  </si>
  <si>
    <t>Developer Led</t>
  </si>
  <si>
    <t xml:space="preserve">Total Annual Net Rental </t>
  </si>
  <si>
    <r>
      <t xml:space="preserve">2. Loan to Value Ratio (LVR %) of </t>
    </r>
    <r>
      <rPr>
        <b/>
        <sz val="11"/>
        <color theme="1"/>
        <rFont val="Calibri"/>
        <family val="2"/>
        <scheme val="minor"/>
      </rPr>
      <t>&lt;70%</t>
    </r>
    <r>
      <rPr>
        <sz val="11"/>
        <color theme="1"/>
        <rFont val="Calibri"/>
        <family val="2"/>
        <scheme val="minor"/>
      </rPr>
      <t xml:space="preserve"> - The LVR % is the ratio of the loan amount to the value of the property.</t>
    </r>
  </si>
  <si>
    <t>Provider Loan Repayment*</t>
  </si>
  <si>
    <t>Does the Provider Require Lending?</t>
  </si>
  <si>
    <t xml:space="preserve">Key Summary Data </t>
  </si>
  <si>
    <t xml:space="preserve">MHUD Loan </t>
  </si>
  <si>
    <t xml:space="preserve">Other Funding </t>
  </si>
  <si>
    <t xml:space="preserve">Third Party Lending </t>
  </si>
  <si>
    <t xml:space="preserve">Total PHO Loan   </t>
  </si>
  <si>
    <t>Total Other Funding</t>
  </si>
  <si>
    <t xml:space="preserve">Expenses </t>
  </si>
  <si>
    <t xml:space="preserve">Finance </t>
  </si>
  <si>
    <t>The graph below details the project surplus/deficit per month, and therefore when the Provider will need to have third party lending available to cover the costs to complete the project</t>
  </si>
  <si>
    <t xml:space="preserve">Cashflow Milestones and Timing </t>
  </si>
  <si>
    <t xml:space="preserve">4. Providers Sources of Funding </t>
  </si>
  <si>
    <t xml:space="preserve">Equity Savings on behalf </t>
  </si>
  <si>
    <t xml:space="preserve">The table below can be used to demonstrate whether the provider lending interest repayments can be covered by the household/whānau rental contribution. </t>
  </si>
  <si>
    <t>Construction Milestones (Month)</t>
  </si>
  <si>
    <t xml:space="preserve">Quantum of PHO Funding per Milestone per Typology </t>
  </si>
  <si>
    <t>Interest on Land</t>
  </si>
  <si>
    <t xml:space="preserve">Interest on Construction &amp; Development Costs </t>
  </si>
  <si>
    <t xml:space="preserve">Note: If a partial purchase is being considered, please use the 'Shared Equity' model to demonstrate that the household can afford full homeownership within 15 years. </t>
  </si>
  <si>
    <t xml:space="preserve">8. Partial Home ownership Assessment </t>
  </si>
  <si>
    <t>a. What is the cost of the land, or Market Value if it's already owned?</t>
  </si>
  <si>
    <r>
      <t xml:space="preserve">b. What are the costs associated with acquiring the land? </t>
    </r>
    <r>
      <rPr>
        <sz val="11"/>
        <color theme="0" tint="-0.34998626667073579"/>
        <rFont val="Calibri"/>
        <family val="2"/>
        <scheme val="minor"/>
      </rPr>
      <t>(e.g. legal, valuation, LIM)</t>
    </r>
  </si>
  <si>
    <t>c. How many dwellings will be built and sold?</t>
  </si>
  <si>
    <r>
      <t xml:space="preserve">d. What is the average Gross Floor Area of the expected dwellings in square metres? </t>
    </r>
    <r>
      <rPr>
        <sz val="11"/>
        <color theme="0" tint="-0.34998626667073579"/>
        <rFont val="Calibri"/>
        <family val="2"/>
        <scheme val="minor"/>
      </rPr>
      <t>(Measured from the external walls)</t>
    </r>
  </si>
  <si>
    <t>b. Do you have any other sources of funding, if so, please specify and quantify below:</t>
  </si>
  <si>
    <t xml:space="preserve"> </t>
  </si>
  <si>
    <t>1. Affordable Housing Model (AHM) - To demonstrate whether a household/Whānau can afford to acquire full home ownership within 15 years, therefore allowing the Provider to repay the PHO loan to MHUD</t>
  </si>
  <si>
    <t xml:space="preserve">3. Rental Calculations - provides the ability to determine operational expenditure associated with each dwelling and how this can be captured in the rental charged to households. </t>
  </si>
  <si>
    <t>5. Household/Whānau Affordability at Start of Year 1</t>
  </si>
  <si>
    <t>Can the household afford the rent at the start of Year 1?</t>
  </si>
  <si>
    <t>&lt;70,=&lt;30</t>
  </si>
  <si>
    <t xml:space="preserve">Start of Year 1 - Rent as a proportion of weekly income before tax </t>
  </si>
  <si>
    <t xml:space="preserve">4. Detailed Feasibility Inputs/Detailed Feasibility  - Provides a more detailed approach to project viability, calculates approximately how much third party lending the Provider will require if they are undertaking the development themselves. </t>
  </si>
  <si>
    <t xml:space="preserve">c. First Home Grant </t>
  </si>
  <si>
    <t>Gross Rental per week</t>
  </si>
  <si>
    <t xml:space="preserve">4. Outputs - Weekly Rental Breakdown </t>
  </si>
  <si>
    <t xml:space="preserve">1. Property Identification and Typology </t>
  </si>
  <si>
    <t>3. Construction Costs (CC)</t>
  </si>
  <si>
    <t>4. Project Development Costs (DC)</t>
  </si>
  <si>
    <t xml:space="preserve">Detailed Feasibility Inputs </t>
  </si>
  <si>
    <t xml:space="preserve">Detailed Feasibility Model </t>
  </si>
  <si>
    <t>The amount of lending can be taken from either the "Preliminary Feasibility' or the 'Detailed Feasibility'</t>
  </si>
  <si>
    <t xml:space="preserve">Enter an estimate of the annual operating expenses of the tenancy on a typology basis. </t>
  </si>
  <si>
    <t xml:space="preserve">Enter the amount of lending required by the provider at completion of the project in the green shaded box below, along with an interest rate. </t>
  </si>
  <si>
    <r>
      <t xml:space="preserve">b. What share of the total project cost per dwelling will you be seeking PHO loan funding for? </t>
    </r>
    <r>
      <rPr>
        <sz val="11"/>
        <color theme="0" tint="-0.34998626667073579"/>
        <rFont val="Calibri"/>
        <family val="2"/>
        <scheme val="minor"/>
      </rPr>
      <t>(should not exceed 50%)</t>
    </r>
  </si>
  <si>
    <t>c. Total PHO Loan sought per dwelling</t>
  </si>
  <si>
    <t xml:space="preserve">Potential Gross Sales Income </t>
  </si>
  <si>
    <t xml:space="preserve">3. Preliminary Feasibility Budget </t>
  </si>
  <si>
    <t xml:space="preserve">Provider Revenue, Funding and Capital </t>
  </si>
  <si>
    <t xml:space="preserve">PHO Loan </t>
  </si>
  <si>
    <t xml:space="preserve">Equity in the land </t>
  </si>
  <si>
    <t xml:space="preserve">Other Sources of Funding </t>
  </si>
  <si>
    <t xml:space="preserve">Provider Costs </t>
  </si>
  <si>
    <t xml:space="preserve">Total Cost of Dwellings - Land and Improvements </t>
  </si>
  <si>
    <t xml:space="preserve">Legal Costs </t>
  </si>
  <si>
    <t xml:space="preserve">Provider Surplus/Deficit at Completion </t>
  </si>
  <si>
    <t xml:space="preserve">Provider PHO loan at Completion </t>
  </si>
  <si>
    <t xml:space="preserve">Provider Lending Requirement at Completion </t>
  </si>
  <si>
    <t>e. If purchasing off a developer, what will the average purchase price per dwelling be?</t>
  </si>
  <si>
    <t>f. What do you expect the average market value per dwelling to be?</t>
  </si>
  <si>
    <t xml:space="preserve">g. What do you expect your legal costs to be per dwelling? (if purchasing off a developer) </t>
  </si>
  <si>
    <r>
      <t xml:space="preserve">h. What is the likely build cost per square metre? </t>
    </r>
    <r>
      <rPr>
        <sz val="11"/>
        <color theme="0" tint="-0.34998626667073579"/>
        <rFont val="Calibri"/>
        <family val="2"/>
        <scheme val="minor"/>
      </rPr>
      <t>(Measured across the Gross Floor Area)</t>
    </r>
  </si>
  <si>
    <r>
      <t xml:space="preserve">i. What is the estimated cost to develop the property? </t>
    </r>
    <r>
      <rPr>
        <sz val="11"/>
        <color theme="0" tint="-0.34998626667073579"/>
        <rFont val="Calibri"/>
        <family val="2"/>
        <scheme val="minor"/>
      </rPr>
      <t>(E.g. subdivision, consenting, site civils and infrastructure)</t>
    </r>
  </si>
  <si>
    <r>
      <t xml:space="preserve">j. What are development/financial contributions per new dwelling? </t>
    </r>
    <r>
      <rPr>
        <sz val="11"/>
        <color theme="0" tint="-0.34998626667073579"/>
        <rFont val="Calibri"/>
        <family val="2"/>
        <scheme val="minor"/>
      </rPr>
      <t>(talk to your local Council)</t>
    </r>
  </si>
  <si>
    <r>
      <t xml:space="preserve">k. Provide an estimate of the cost of professional fees </t>
    </r>
    <r>
      <rPr>
        <sz val="11"/>
        <color theme="0" tint="-0.34998626667073579"/>
        <rFont val="Calibri"/>
        <family val="2"/>
        <scheme val="minor"/>
      </rPr>
      <t>(10-15% of construction cost)</t>
    </r>
  </si>
  <si>
    <r>
      <t xml:space="preserve">l. Adopt a contingency % </t>
    </r>
    <r>
      <rPr>
        <sz val="11"/>
        <color theme="0" tint="-0.34998626667073579"/>
        <rFont val="Calibri"/>
        <family val="2"/>
        <scheme val="minor"/>
      </rPr>
      <t>(Typically 10-20% of construction &amp; civils cost)</t>
    </r>
  </si>
  <si>
    <r>
      <t xml:space="preserve">o. How long will planning and site development take? </t>
    </r>
    <r>
      <rPr>
        <sz val="11"/>
        <color theme="0" tint="-0.34998626667073579"/>
        <rFont val="Calibri"/>
        <family val="2"/>
        <scheme val="minor"/>
      </rPr>
      <t>(Months)</t>
    </r>
  </si>
  <si>
    <r>
      <t xml:space="preserve">p. How long will construction take? </t>
    </r>
    <r>
      <rPr>
        <sz val="11"/>
        <color theme="0" tint="-0.34998626667073579"/>
        <rFont val="Calibri"/>
        <family val="2"/>
        <scheme val="minor"/>
      </rPr>
      <t>(Months)</t>
    </r>
  </si>
  <si>
    <r>
      <t xml:space="preserve">q. How long will it take to rent/sell the dwellings? </t>
    </r>
    <r>
      <rPr>
        <sz val="11"/>
        <color theme="0" tint="-0.34998626667073579"/>
        <rFont val="Calibri"/>
        <family val="2"/>
        <scheme val="minor"/>
      </rPr>
      <t>(Months)</t>
    </r>
  </si>
  <si>
    <t>r. If a developer is undertaking the development, what profit % do they expect? (% of total project cost)</t>
  </si>
  <si>
    <t xml:space="preserve">Contribution to provider's lending interest costs total - from all households/whanau </t>
  </si>
  <si>
    <t xml:space="preserve">Average per household </t>
  </si>
  <si>
    <t>Project Cost per dwg</t>
  </si>
  <si>
    <t xml:space="preserve">2. Yield, Area Metrics and Market Value </t>
  </si>
  <si>
    <t xml:space="preserve">3. To demonstrate the providers potential financial position at completion of the project, under either a provider led or developer led development </t>
  </si>
  <si>
    <t xml:space="preserve">Secondly, the model calculates how many years it will take for the household to build up enough equity and cash reserves to purchase a specified share in the property. </t>
  </si>
  <si>
    <r>
      <t xml:space="preserve">n. Interest on land cost (%) </t>
    </r>
    <r>
      <rPr>
        <sz val="11"/>
        <color theme="0" tint="-0.34998626667073579"/>
        <rFont val="Calibri"/>
        <family val="2"/>
        <scheme val="minor"/>
      </rPr>
      <t>(Please specify an interest rate)</t>
    </r>
  </si>
  <si>
    <t xml:space="preserve">4. Estimated Provider Financial Position at Completion </t>
  </si>
  <si>
    <t xml:space="preserve">This page drives the 'Detailed Feasibility' tab, and is only applicable if the provider is undertaking the development themselves. </t>
  </si>
  <si>
    <t xml:space="preserve">This page is only applicable if the provider is undertaking the development themselves. </t>
  </si>
  <si>
    <t xml:space="preserve">1. To provide a high level preliminary feasibility assessment of a provider led development - providers with a site in mind that is owned, or to be purchased for development, with an initial idea of how many dwellings to construct and sell. </t>
  </si>
  <si>
    <t xml:space="preserve">Provider Total Estimated Market Value of Dwellings at Completion </t>
  </si>
  <si>
    <r>
      <t xml:space="preserve">m. Interest on construction/development costs (%) </t>
    </r>
    <r>
      <rPr>
        <sz val="11"/>
        <color theme="0" tint="-0.34998626667073579"/>
        <rFont val="Calibri"/>
        <family val="2"/>
        <scheme val="minor"/>
      </rPr>
      <t>(Please specify an interest rate)</t>
    </r>
  </si>
  <si>
    <t>a. What is the total project cost to the provider per dwelling?</t>
  </si>
  <si>
    <t xml:space="preserve">* Provider Loan Repayment - this is an estimate of the amount of rental expected to be recovered from the Household/Whānau, for the provider to put </t>
  </si>
  <si>
    <t xml:space="preserve">towards their third party lending requirement. Please refer to the 'Rental Calculations' page for help with estimating this figure. </t>
  </si>
  <si>
    <t>% of Total CC + DC</t>
  </si>
  <si>
    <t>2. To provide a high level preliminary feasibility assessment of a developer led development - providers may use this budget to test a developers costs and sale prices to ensure value for money</t>
  </si>
  <si>
    <t xml:space="preserve">f. Shared Equity Buy In - If the provider is looking to offer an equity share buy in, please specify the share as a percentage. Note that the household will be required to demonstrate they can afford full homeownership in 15 years before an equity share is possible. </t>
  </si>
  <si>
    <t xml:space="preserve">Initial Deposit </t>
  </si>
  <si>
    <t>Mortgage Repayments on Loan Requirement (per annum)</t>
  </si>
  <si>
    <t>Indicates benchmark values to be used for comparison purposes</t>
  </si>
  <si>
    <t>Project Address:</t>
  </si>
  <si>
    <t xml:space="preserve">The AHM also allows the provider to demonstrate whether a household/Whanau can afford to acquire a share in the property at a specific time, therefore moving into a 'Shared Equity' arrangement </t>
  </si>
  <si>
    <t xml:space="preserve">2. Preliminary Feasibility - An initial high level preliminary project feasibility assessment to determine whether a project is viable. </t>
  </si>
  <si>
    <t xml:space="preserve">undertaking the development themselves. We suggest that provider's obtain accounting advice in relation to potential GST liabilities. </t>
  </si>
  <si>
    <t>*Please note that the Total Estimated Market Value of Dwellings at Completion, does not consider a provider's potential GST liability if they are</t>
  </si>
  <si>
    <t xml:space="preserve">Option 5: Physical Site Works and Development </t>
  </si>
  <si>
    <t xml:space="preserve">Site Works </t>
  </si>
  <si>
    <t>Version 3.0</t>
  </si>
  <si>
    <t xml:space="preserve">Physical Site Works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</si>
</sst>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7" formatCode="&quot;$&quot;#,##0.00;\-&quot;$&quot;#,##0.00"/>
    <numFmt numFmtId="8" formatCode="&quot;$&quot;#,##0.00;[Red]\-&quot;$&quot;#,##0.00"/>
    <numFmt numFmtId="43" formatCode="_-* #,##0.00_-;\-* #,##0.00_-;_-* &quot;-&quot;??_-;_-@_-"/>
    <numFmt numFmtId="164" formatCode="0.0%"/>
    <numFmt numFmtId="165" formatCode="_-* #,##0_-;\-* #,##0_-;_-* &quot;-&quot;??_-;_-@_-"/>
    <numFmt numFmtId="166" formatCode="&quot;$&quot;#,##0"/>
    <numFmt numFmtId="167" formatCode="&quot;$&quot;#,##0;[Red]\(&quot;$&quot;#,##0\)"/>
    <numFmt numFmtId="168" formatCode="#,##0.00_ ;\(#,##0.00\)"/>
    <numFmt numFmtId="169" formatCode="#,##0.00_ ;\-#,##0.00\ "/>
    <numFmt numFmtId="170" formatCode="&quot;$&quot;#,##0.0;\-&quot;$&quot;#,##0.0"/>
  </numFmts>
  <fonts count="4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1"/>
      <name val="Calibri"/>
      <family val="2"/>
      <scheme val="minor"/>
    </font>
    <font>
      <sz val="8"/>
      <color theme="1"/>
      <name val="Calibri"/>
      <family val="2"/>
      <scheme val="minor"/>
    </font>
    <font>
      <sz val="11"/>
      <name val="Calibri"/>
      <family val="2"/>
      <scheme val="minor"/>
    </font>
    <font>
      <sz val="10"/>
      <name val="Arial"/>
      <family val="2"/>
    </font>
    <font>
      <b/>
      <sz val="11"/>
      <name val="Arial"/>
      <family val="2"/>
    </font>
    <font>
      <b/>
      <u/>
      <sz val="11"/>
      <name val="Calibri"/>
      <family val="2"/>
      <scheme val="minor"/>
    </font>
    <font>
      <u/>
      <sz val="11"/>
      <name val="Calibri"/>
      <family val="2"/>
      <scheme val="minor"/>
    </font>
    <font>
      <b/>
      <sz val="11"/>
      <color theme="1"/>
      <name val="Arial"/>
      <family val="2"/>
    </font>
    <font>
      <b/>
      <u val="singleAccounting"/>
      <sz val="11"/>
      <color theme="1"/>
      <name val="Arial"/>
      <family val="2"/>
    </font>
    <font>
      <sz val="11"/>
      <color theme="0" tint="-0.34998626667073579"/>
      <name val="Calibri"/>
      <family val="2"/>
      <scheme val="minor"/>
    </font>
    <font>
      <sz val="11"/>
      <color theme="1"/>
      <name val="Arial"/>
      <family val="2"/>
    </font>
    <font>
      <u val="singleAccounting"/>
      <sz val="11"/>
      <color theme="1"/>
      <name val="Arial"/>
      <family val="2"/>
    </font>
    <font>
      <u val="singleAccounting"/>
      <sz val="11"/>
      <color theme="1"/>
      <name val="Calibri"/>
      <family val="2"/>
      <scheme val="minor"/>
    </font>
    <font>
      <sz val="11"/>
      <name val="Arial"/>
      <family val="2"/>
    </font>
    <font>
      <i/>
      <sz val="11"/>
      <color theme="1"/>
      <name val="Calibri"/>
      <family val="2"/>
      <scheme val="minor"/>
    </font>
    <font>
      <u/>
      <sz val="11"/>
      <color theme="1"/>
      <name val="Calibri"/>
      <family val="2"/>
      <scheme val="minor"/>
    </font>
    <font>
      <b/>
      <sz val="11"/>
      <color indexed="8"/>
      <name val="Calibri"/>
      <family val="2"/>
      <scheme val="minor"/>
    </font>
    <font>
      <sz val="10"/>
      <name val="Calibri"/>
      <family val="2"/>
      <scheme val="minor"/>
    </font>
    <font>
      <sz val="11"/>
      <color theme="0" tint="-4.9989318521683403E-2"/>
      <name val="Calibri"/>
      <family val="2"/>
      <scheme val="minor"/>
    </font>
    <font>
      <b/>
      <sz val="11"/>
      <color rgb="FFFF0000"/>
      <name val="Calibri"/>
      <family val="2"/>
      <scheme val="minor"/>
    </font>
    <font>
      <i/>
      <sz val="10"/>
      <color theme="1"/>
      <name val="Calibri"/>
      <family val="2"/>
      <scheme val="minor"/>
    </font>
    <font>
      <sz val="10"/>
      <color rgb="FFFF0000"/>
      <name val="Calibri"/>
      <family val="2"/>
      <scheme val="minor"/>
    </font>
    <font>
      <b/>
      <u/>
      <sz val="11"/>
      <color theme="1"/>
      <name val="Calibri"/>
      <family val="2"/>
      <scheme val="minor"/>
    </font>
    <font>
      <b/>
      <sz val="11"/>
      <color rgb="FFFF9900"/>
      <name val="Calibri"/>
      <family val="2"/>
      <scheme val="minor"/>
    </font>
    <font>
      <i/>
      <sz val="9"/>
      <color theme="1"/>
      <name val="Calibri"/>
      <family val="2"/>
      <scheme val="minor"/>
    </font>
    <font>
      <b/>
      <sz val="16"/>
      <color theme="1"/>
      <name val="Calibri"/>
      <family val="2"/>
      <scheme val="minor"/>
    </font>
    <font>
      <i/>
      <sz val="11"/>
      <name val="Calibri"/>
      <family val="2"/>
      <scheme val="minor"/>
    </font>
    <font>
      <b/>
      <sz val="18"/>
      <color theme="1"/>
      <name val="Calibri"/>
      <family val="2"/>
      <scheme val="minor"/>
    </font>
    <font>
      <i/>
      <sz val="11"/>
      <color theme="0" tint="-0.34998626667073579"/>
      <name val="Calibri"/>
      <family val="2"/>
      <scheme val="minor"/>
    </font>
    <font>
      <b/>
      <sz val="11"/>
      <color theme="0" tint="-0.34998626667073579"/>
      <name val="Calibri"/>
      <family val="2"/>
      <scheme val="minor"/>
    </font>
    <font>
      <b/>
      <sz val="16"/>
      <name val="Calibri"/>
      <family val="2"/>
      <scheme val="minor"/>
    </font>
    <font>
      <sz val="11"/>
      <color rgb="FFFFC000"/>
      <name val="Calibri"/>
      <family val="2"/>
      <scheme val="minor"/>
    </font>
    <font>
      <sz val="11"/>
      <color rgb="FFFF9900"/>
      <name val="Calibri"/>
      <family val="2"/>
      <scheme val="minor"/>
    </font>
    <font>
      <b/>
      <sz val="11"/>
      <color rgb="FF00B050"/>
      <name val="Calibri"/>
      <family val="2"/>
      <scheme val="minor"/>
    </font>
    <font>
      <sz val="11"/>
      <color theme="3" tint="0.39997558519241921"/>
      <name val="Calibri"/>
      <family val="2"/>
      <scheme val="minor"/>
    </font>
    <font>
      <sz val="11"/>
      <color theme="4"/>
      <name val="Calibri"/>
      <family val="2"/>
      <scheme val="minor"/>
    </font>
    <font>
      <sz val="12"/>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rgb="FFFFE48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CC00"/>
        <bgColor indexed="64"/>
      </patternFill>
    </fill>
    <fill>
      <patternFill patternType="solid">
        <fgColor theme="4" tint="0.39997558519241921"/>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indexed="64"/>
      </top>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theme="0" tint="-0.34998626667073579"/>
      </right>
      <top/>
      <bottom style="thin">
        <color indexed="64"/>
      </bottom>
      <diagonal/>
    </border>
    <border>
      <left style="medium">
        <color rgb="FFFFC000"/>
      </left>
      <right/>
      <top/>
      <bottom/>
      <diagonal/>
    </border>
    <border>
      <left/>
      <right style="medium">
        <color rgb="FFFFC000"/>
      </right>
      <top/>
      <bottom/>
      <diagonal/>
    </border>
    <border>
      <left style="medium">
        <color rgb="FFFF9900"/>
      </left>
      <right style="thin">
        <color indexed="64"/>
      </right>
      <top style="medium">
        <color rgb="FFFF9900"/>
      </top>
      <bottom style="medium">
        <color rgb="FFFF9900"/>
      </bottom>
      <diagonal/>
    </border>
    <border>
      <left style="medium">
        <color rgb="FFFFCC00"/>
      </left>
      <right/>
      <top style="medium">
        <color rgb="FFFFCC00"/>
      </top>
      <bottom/>
      <diagonal/>
    </border>
    <border>
      <left/>
      <right/>
      <top style="medium">
        <color rgb="FFFFCC00"/>
      </top>
      <bottom/>
      <diagonal/>
    </border>
    <border>
      <left/>
      <right style="medium">
        <color rgb="FFFFCC00"/>
      </right>
      <top style="medium">
        <color rgb="FFFFCC00"/>
      </top>
      <bottom/>
      <diagonal/>
    </border>
    <border>
      <left style="medium">
        <color rgb="FFFFCC00"/>
      </left>
      <right/>
      <top/>
      <bottom/>
      <diagonal/>
    </border>
    <border>
      <left/>
      <right style="medium">
        <color rgb="FFFFCC00"/>
      </right>
      <top/>
      <bottom/>
      <diagonal/>
    </border>
    <border>
      <left style="medium">
        <color rgb="FFFFCC00"/>
      </left>
      <right/>
      <top/>
      <bottom style="medium">
        <color rgb="FFFFCC00"/>
      </bottom>
      <diagonal/>
    </border>
    <border>
      <left/>
      <right/>
      <top/>
      <bottom style="medium">
        <color rgb="FFFFCC00"/>
      </bottom>
      <diagonal/>
    </border>
    <border>
      <left/>
      <right style="medium">
        <color rgb="FFFFCC00"/>
      </right>
      <top/>
      <bottom style="medium">
        <color rgb="FFFFCC00"/>
      </bottom>
      <diagonal/>
    </border>
    <border>
      <left style="thin">
        <color indexed="64"/>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thin">
        <color theme="0" tint="-0.34998626667073579"/>
      </left>
      <right/>
      <top style="thin">
        <color indexed="64"/>
      </top>
      <bottom/>
      <diagonal/>
    </border>
    <border>
      <left style="medium">
        <color rgb="FFFFCC00"/>
      </left>
      <right style="medium">
        <color rgb="FFFFCC00"/>
      </right>
      <top style="medium">
        <color rgb="FFFFCC00"/>
      </top>
      <bottom style="medium">
        <color rgb="FFFFCC00"/>
      </bottom>
      <diagonal/>
    </border>
    <border>
      <left style="thin">
        <color theme="0" tint="-0.34998626667073579"/>
      </left>
      <right style="thin">
        <color indexed="64"/>
      </right>
      <top/>
      <bottom style="thin">
        <color theme="0" tint="-0.34998626667073579"/>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rgb="FFFFCC00"/>
      </left>
      <right/>
      <top style="medium">
        <color rgb="FFFFCC00"/>
      </top>
      <bottom style="medium">
        <color rgb="FFFFCC00"/>
      </bottom>
      <diagonal/>
    </border>
    <border>
      <left/>
      <right/>
      <top style="medium">
        <color rgb="FFFFCC00"/>
      </top>
      <bottom style="medium">
        <color rgb="FFFFCC00"/>
      </bottom>
      <diagonal/>
    </border>
    <border>
      <left/>
      <right style="medium">
        <color rgb="FFFFCC00"/>
      </right>
      <top style="medium">
        <color rgb="FFFFCC00"/>
      </top>
      <bottom style="medium">
        <color rgb="FFFFCC00"/>
      </bottom>
      <diagonal/>
    </border>
    <border>
      <left style="thin">
        <color theme="0"/>
      </left>
      <right/>
      <top/>
      <bottom/>
      <diagonal/>
    </border>
    <border>
      <left style="thin">
        <color indexed="64"/>
      </left>
      <right/>
      <top/>
      <bottom style="thin">
        <color theme="0"/>
      </bottom>
      <diagonal/>
    </border>
    <border>
      <left/>
      <right/>
      <top style="thin">
        <color theme="0"/>
      </top>
      <bottom/>
      <diagonal/>
    </border>
    <border>
      <left style="thin">
        <color theme="0" tint="-0.34998626667073579"/>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 fillId="0" borderId="0"/>
    <xf numFmtId="9" fontId="11" fillId="0" borderId="0" applyFont="0" applyFill="0" applyBorder="0" applyAlignment="0" applyProtection="0"/>
  </cellStyleXfs>
  <cellXfs count="847">
    <xf numFmtId="0" fontId="0" fillId="0" borderId="0" xfId="0"/>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7" fillId="2" borderId="0" xfId="0" applyFont="1" applyFill="1"/>
    <xf numFmtId="0" fontId="0" fillId="2" borderId="5" xfId="0" applyFill="1" applyBorder="1" applyAlignment="1">
      <alignment horizontal="center"/>
    </xf>
    <xf numFmtId="0" fontId="7" fillId="2" borderId="4" xfId="0" applyFont="1" applyFill="1" applyBorder="1"/>
    <xf numFmtId="0" fontId="7" fillId="2" borderId="5" xfId="0" applyFont="1" applyFill="1" applyBorder="1" applyAlignment="1">
      <alignment horizontal="center"/>
    </xf>
    <xf numFmtId="0" fontId="0" fillId="2" borderId="9" xfId="0" applyFill="1" applyBorder="1"/>
    <xf numFmtId="0" fontId="0" fillId="2" borderId="10" xfId="0" applyFill="1" applyBorder="1"/>
    <xf numFmtId="0" fontId="4" fillId="2" borderId="0" xfId="0" applyFont="1" applyFill="1"/>
    <xf numFmtId="0" fontId="8" fillId="2" borderId="0" xfId="0" applyFont="1" applyFill="1" applyAlignment="1">
      <alignment vertical="center"/>
    </xf>
    <xf numFmtId="0" fontId="10" fillId="2" borderId="0" xfId="0" applyFont="1" applyFill="1"/>
    <xf numFmtId="0" fontId="0" fillId="2" borderId="11" xfId="0" applyFill="1" applyBorder="1"/>
    <xf numFmtId="0" fontId="4" fillId="2" borderId="8" xfId="0" applyFont="1" applyFill="1" applyBorder="1" applyAlignment="1">
      <alignment horizontal="center"/>
    </xf>
    <xf numFmtId="0" fontId="7" fillId="2" borderId="9" xfId="0" applyFont="1" applyFill="1" applyBorder="1"/>
    <xf numFmtId="0" fontId="4" fillId="2" borderId="0" xfId="0" applyFont="1" applyFill="1" applyAlignment="1">
      <alignment horizontal="left"/>
    </xf>
    <xf numFmtId="5" fontId="0" fillId="2" borderId="5" xfId="0" applyNumberFormat="1" applyFill="1" applyBorder="1" applyAlignment="1">
      <alignment horizontal="center"/>
    </xf>
    <xf numFmtId="5" fontId="0" fillId="2" borderId="10" xfId="0" applyNumberFormat="1" applyFill="1" applyBorder="1" applyAlignment="1">
      <alignment horizontal="center"/>
    </xf>
    <xf numFmtId="5" fontId="4" fillId="2" borderId="11" xfId="0" applyNumberFormat="1" applyFont="1" applyFill="1" applyBorder="1" applyAlignment="1">
      <alignment horizontal="center"/>
    </xf>
    <xf numFmtId="5" fontId="16" fillId="2" borderId="0" xfId="1" applyNumberFormat="1" applyFont="1" applyFill="1" applyBorder="1" applyProtection="1"/>
    <xf numFmtId="1" fontId="10" fillId="8" borderId="0" xfId="3" applyNumberFormat="1" applyFont="1" applyFill="1" applyAlignment="1" applyProtection="1">
      <alignment horizontal="center"/>
      <protection locked="0"/>
    </xf>
    <xf numFmtId="5" fontId="0" fillId="8" borderId="0" xfId="1" applyNumberFormat="1" applyFont="1" applyFill="1" applyBorder="1" applyAlignment="1" applyProtection="1">
      <alignment horizontal="center"/>
      <protection locked="0"/>
    </xf>
    <xf numFmtId="5" fontId="0" fillId="2" borderId="5" xfId="1" applyNumberFormat="1" applyFont="1" applyFill="1" applyBorder="1" applyAlignment="1" applyProtection="1">
      <alignment horizontal="center"/>
    </xf>
    <xf numFmtId="9" fontId="17" fillId="2" borderId="0" xfId="2" applyFont="1" applyFill="1" applyBorder="1" applyAlignment="1" applyProtection="1">
      <alignment horizontal="center"/>
    </xf>
    <xf numFmtId="5" fontId="18" fillId="2" borderId="0" xfId="1" applyNumberFormat="1" applyFont="1" applyFill="1" applyBorder="1" applyProtection="1"/>
    <xf numFmtId="5" fontId="4" fillId="2" borderId="5" xfId="1" applyNumberFormat="1" applyFont="1" applyFill="1" applyBorder="1" applyAlignment="1" applyProtection="1">
      <alignment horizontal="center"/>
    </xf>
    <xf numFmtId="9" fontId="4" fillId="2" borderId="0" xfId="2" applyFont="1" applyFill="1" applyBorder="1" applyAlignment="1" applyProtection="1">
      <alignment horizontal="center"/>
    </xf>
    <xf numFmtId="9" fontId="0" fillId="2" borderId="0" xfId="2" applyFont="1" applyFill="1" applyBorder="1" applyAlignment="1" applyProtection="1">
      <alignment horizontal="center"/>
    </xf>
    <xf numFmtId="0" fontId="4" fillId="2" borderId="10" xfId="0" applyFont="1" applyFill="1" applyBorder="1" applyAlignment="1">
      <alignment horizontal="center"/>
    </xf>
    <xf numFmtId="5" fontId="4" fillId="2" borderId="11" xfId="1" applyNumberFormat="1" applyFont="1" applyFill="1" applyBorder="1" applyAlignment="1" applyProtection="1">
      <alignment horizontal="center"/>
    </xf>
    <xf numFmtId="0" fontId="10" fillId="2" borderId="0" xfId="3" applyFont="1" applyFill="1" applyAlignment="1">
      <alignment horizontal="center"/>
    </xf>
    <xf numFmtId="5" fontId="10" fillId="2" borderId="0" xfId="3" applyNumberFormat="1" applyFont="1" applyFill="1" applyAlignment="1">
      <alignment horizontal="center"/>
    </xf>
    <xf numFmtId="5" fontId="8" fillId="2" borderId="3" xfId="1" applyNumberFormat="1" applyFont="1" applyFill="1" applyBorder="1" applyAlignment="1" applyProtection="1">
      <alignment horizontal="center"/>
    </xf>
    <xf numFmtId="9" fontId="8" fillId="2" borderId="0" xfId="2" applyFont="1" applyFill="1" applyBorder="1" applyAlignment="1" applyProtection="1">
      <alignment horizontal="center"/>
    </xf>
    <xf numFmtId="0" fontId="8" fillId="2" borderId="0" xfId="1" applyNumberFormat="1" applyFont="1" applyFill="1" applyBorder="1" applyProtection="1"/>
    <xf numFmtId="5" fontId="12" fillId="2" borderId="0" xfId="1" applyNumberFormat="1" applyFont="1" applyFill="1" applyBorder="1" applyProtection="1"/>
    <xf numFmtId="164" fontId="0" fillId="2" borderId="0" xfId="2" applyNumberFormat="1" applyFont="1" applyFill="1" applyBorder="1" applyAlignment="1" applyProtection="1">
      <alignment horizontal="center"/>
    </xf>
    <xf numFmtId="164" fontId="0" fillId="2" borderId="10" xfId="2" applyNumberFormat="1" applyFont="1" applyFill="1" applyBorder="1" applyAlignment="1" applyProtection="1">
      <alignment horizontal="center"/>
    </xf>
    <xf numFmtId="0" fontId="0" fillId="2" borderId="0" xfId="0" applyFill="1" applyAlignment="1">
      <alignment horizontal="left"/>
    </xf>
    <xf numFmtId="0" fontId="3" fillId="2" borderId="0" xfId="0" applyFont="1" applyFill="1"/>
    <xf numFmtId="166" fontId="4" fillId="2" borderId="0" xfId="0" applyNumberFormat="1" applyFont="1" applyFill="1" applyAlignment="1">
      <alignment horizontal="center"/>
    </xf>
    <xf numFmtId="6" fontId="0" fillId="2" borderId="0" xfId="0" applyNumberFormat="1" applyFill="1" applyAlignment="1">
      <alignment horizontal="center"/>
    </xf>
    <xf numFmtId="5" fontId="0" fillId="2" borderId="0" xfId="0" applyNumberFormat="1" applyFill="1"/>
    <xf numFmtId="3" fontId="4" fillId="2" borderId="0" xfId="0" applyNumberFormat="1" applyFont="1" applyFill="1" applyAlignment="1">
      <alignment horizontal="center"/>
    </xf>
    <xf numFmtId="0" fontId="5" fillId="2" borderId="0" xfId="0" applyFont="1" applyFill="1"/>
    <xf numFmtId="9" fontId="26" fillId="5" borderId="4" xfId="2" applyFont="1" applyFill="1" applyBorder="1" applyAlignment="1">
      <alignment horizontal="center"/>
    </xf>
    <xf numFmtId="9" fontId="26" fillId="5" borderId="0" xfId="2" applyFont="1" applyFill="1" applyBorder="1" applyAlignment="1">
      <alignment horizontal="center"/>
    </xf>
    <xf numFmtId="0" fontId="5" fillId="2" borderId="0" xfId="0" applyFont="1" applyFill="1" applyAlignment="1">
      <alignment horizontal="center"/>
    </xf>
    <xf numFmtId="5" fontId="5" fillId="2" borderId="0" xfId="0" applyNumberFormat="1" applyFont="1" applyFill="1" applyAlignment="1">
      <alignment horizontal="center"/>
    </xf>
    <xf numFmtId="5" fontId="5" fillId="2" borderId="0" xfId="0" applyNumberFormat="1" applyFont="1" applyFill="1"/>
    <xf numFmtId="0" fontId="0" fillId="8" borderId="0" xfId="0" applyFill="1" applyAlignment="1">
      <alignment horizontal="center"/>
    </xf>
    <xf numFmtId="0" fontId="4" fillId="11" borderId="5" xfId="0" applyFont="1" applyFill="1" applyBorder="1" applyAlignment="1">
      <alignment horizontal="center"/>
    </xf>
    <xf numFmtId="9" fontId="0" fillId="2" borderId="0" xfId="2" applyFont="1" applyFill="1" applyBorder="1" applyAlignment="1">
      <alignment horizontal="center"/>
    </xf>
    <xf numFmtId="0" fontId="10" fillId="2" borderId="4" xfId="3" applyFont="1" applyFill="1" applyBorder="1" applyAlignment="1">
      <alignment horizontal="left" indent="1"/>
    </xf>
    <xf numFmtId="0" fontId="4" fillId="2" borderId="9" xfId="0" applyFont="1" applyFill="1" applyBorder="1"/>
    <xf numFmtId="5" fontId="0" fillId="2" borderId="0" xfId="1" applyNumberFormat="1" applyFont="1" applyFill="1" applyBorder="1" applyAlignment="1" applyProtection="1">
      <alignment horizontal="center"/>
    </xf>
    <xf numFmtId="0" fontId="10" fillId="2" borderId="5" xfId="3" applyFont="1" applyFill="1" applyBorder="1" applyAlignment="1">
      <alignment horizontal="center"/>
    </xf>
    <xf numFmtId="0" fontId="10" fillId="8" borderId="5" xfId="3" applyFont="1" applyFill="1" applyBorder="1" applyAlignment="1" applyProtection="1">
      <alignment horizontal="center"/>
      <protection locked="0"/>
    </xf>
    <xf numFmtId="0" fontId="10" fillId="8" borderId="4" xfId="3" applyFont="1" applyFill="1" applyBorder="1" applyAlignment="1" applyProtection="1">
      <alignment horizontal="left" indent="1"/>
      <protection locked="0"/>
    </xf>
    <xf numFmtId="5" fontId="8" fillId="2" borderId="10" xfId="1" applyNumberFormat="1" applyFont="1" applyFill="1" applyBorder="1" applyAlignment="1" applyProtection="1">
      <alignment horizontal="center"/>
    </xf>
    <xf numFmtId="0" fontId="10" fillId="2" borderId="11" xfId="3" applyFont="1" applyFill="1" applyBorder="1" applyAlignment="1">
      <alignment horizontal="center"/>
    </xf>
    <xf numFmtId="0" fontId="0" fillId="11" borderId="0" xfId="0" applyFill="1"/>
    <xf numFmtId="0" fontId="0" fillId="11" borderId="0" xfId="0" applyFill="1" applyAlignment="1">
      <alignment horizontal="center"/>
    </xf>
    <xf numFmtId="0" fontId="4" fillId="2" borderId="4" xfId="0" applyFont="1" applyFill="1" applyBorder="1"/>
    <xf numFmtId="164" fontId="8" fillId="2" borderId="0" xfId="5" applyNumberFormat="1" applyFont="1" applyFill="1" applyBorder="1" applyAlignment="1" applyProtection="1">
      <alignment horizontal="center"/>
    </xf>
    <xf numFmtId="0" fontId="4" fillId="2" borderId="6" xfId="0" applyFont="1" applyFill="1" applyBorder="1"/>
    <xf numFmtId="9" fontId="10" fillId="2" borderId="10" xfId="0" applyNumberFormat="1" applyFont="1" applyFill="1" applyBorder="1" applyAlignment="1">
      <alignment horizontal="center"/>
    </xf>
    <xf numFmtId="0" fontId="27" fillId="2" borderId="0" xfId="0" applyFont="1" applyFill="1"/>
    <xf numFmtId="0" fontId="4" fillId="0" borderId="0" xfId="0" applyFont="1"/>
    <xf numFmtId="0" fontId="0" fillId="0" borderId="0" xfId="0" applyAlignment="1">
      <alignment horizontal="center"/>
    </xf>
    <xf numFmtId="0" fontId="4" fillId="0" borderId="15" xfId="0" applyFont="1" applyBorder="1"/>
    <xf numFmtId="0" fontId="4" fillId="0" borderId="18" xfId="0" applyFont="1" applyBorder="1"/>
    <xf numFmtId="0" fontId="4" fillId="0" borderId="19" xfId="0" applyFont="1" applyBorder="1" applyAlignment="1">
      <alignment horizontal="center" wrapText="1"/>
    </xf>
    <xf numFmtId="0" fontId="4" fillId="0" borderId="20" xfId="0" applyFont="1" applyBorder="1" applyAlignment="1">
      <alignment horizontal="center"/>
    </xf>
    <xf numFmtId="5" fontId="10" fillId="0" borderId="0" xfId="0" applyNumberFormat="1" applyFont="1" applyAlignment="1">
      <alignment horizontal="left"/>
    </xf>
    <xf numFmtId="0" fontId="10" fillId="10" borderId="0" xfId="0" applyFont="1" applyFill="1" applyAlignment="1">
      <alignment horizontal="left"/>
    </xf>
    <xf numFmtId="0" fontId="0" fillId="10" borderId="0" xfId="0" applyFill="1"/>
    <xf numFmtId="0" fontId="0" fillId="10" borderId="0" xfId="0" applyFill="1" applyAlignment="1">
      <alignment horizontal="center"/>
    </xf>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10" fillId="0" borderId="0" xfId="0" applyFont="1" applyAlignment="1">
      <alignment horizontal="left"/>
    </xf>
    <xf numFmtId="0" fontId="0" fillId="0" borderId="21" xfId="0" applyBorder="1"/>
    <xf numFmtId="0" fontId="0" fillId="0" borderId="22" xfId="0" applyBorder="1" applyAlignment="1">
      <alignment horizontal="center"/>
    </xf>
    <xf numFmtId="0" fontId="10" fillId="11" borderId="0" xfId="0" applyFont="1" applyFill="1" applyAlignment="1">
      <alignment horizontal="left"/>
    </xf>
    <xf numFmtId="0" fontId="10" fillId="6" borderId="0" xfId="0" applyFont="1" applyFill="1" applyAlignment="1">
      <alignment horizontal="left"/>
    </xf>
    <xf numFmtId="0" fontId="0" fillId="6" borderId="0" xfId="0" applyFill="1"/>
    <xf numFmtId="0" fontId="0" fillId="6" borderId="0" xfId="0" applyFill="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10" fillId="12" borderId="0" xfId="0" applyFont="1" applyFill="1" applyAlignment="1">
      <alignment horizontal="left"/>
    </xf>
    <xf numFmtId="0" fontId="0" fillId="12" borderId="0" xfId="0" applyFill="1"/>
    <xf numFmtId="0" fontId="0" fillId="12" borderId="0" xfId="0" applyFill="1" applyAlignment="1">
      <alignment horizontal="center"/>
    </xf>
    <xf numFmtId="0" fontId="10" fillId="8" borderId="0" xfId="0" applyFont="1" applyFill="1" applyAlignment="1">
      <alignment horizontal="left"/>
    </xf>
    <xf numFmtId="0" fontId="0" fillId="8" borderId="0" xfId="0" applyFill="1"/>
    <xf numFmtId="0" fontId="4" fillId="0" borderId="21" xfId="0" applyFont="1" applyBorder="1"/>
    <xf numFmtId="0" fontId="4" fillId="0" borderId="0" xfId="0" applyFont="1" applyAlignment="1">
      <alignment horizontal="center" wrapText="1"/>
    </xf>
    <xf numFmtId="0" fontId="4" fillId="0" borderId="22" xfId="0" applyFont="1" applyBorder="1" applyAlignment="1">
      <alignment horizontal="center"/>
    </xf>
    <xf numFmtId="9" fontId="4" fillId="2" borderId="0" xfId="2" applyFont="1" applyFill="1" applyBorder="1" applyAlignment="1">
      <alignment horizontal="center"/>
    </xf>
    <xf numFmtId="7" fontId="0" fillId="2" borderId="0" xfId="0" applyNumberFormat="1" applyFill="1"/>
    <xf numFmtId="5" fontId="4" fillId="2" borderId="5" xfId="0" applyNumberFormat="1" applyFont="1" applyFill="1" applyBorder="1" applyAlignment="1">
      <alignment horizontal="center"/>
    </xf>
    <xf numFmtId="0" fontId="10" fillId="2" borderId="4" xfId="0" applyFont="1" applyFill="1" applyBorder="1"/>
    <xf numFmtId="0" fontId="4" fillId="2" borderId="5" xfId="0" applyFont="1" applyFill="1" applyBorder="1" applyAlignment="1">
      <alignment horizontal="center"/>
    </xf>
    <xf numFmtId="5" fontId="10" fillId="2" borderId="0" xfId="0" applyNumberFormat="1" applyFont="1" applyFill="1"/>
    <xf numFmtId="10" fontId="10" fillId="2" borderId="0" xfId="0" applyNumberFormat="1" applyFont="1" applyFill="1"/>
    <xf numFmtId="7" fontId="8" fillId="2" borderId="0" xfId="0" applyNumberFormat="1" applyFont="1" applyFill="1"/>
    <xf numFmtId="169" fontId="10" fillId="2" borderId="0" xfId="0" applyNumberFormat="1" applyFont="1" applyFill="1" applyAlignment="1">
      <alignment horizontal="center"/>
    </xf>
    <xf numFmtId="7" fontId="10" fillId="2" borderId="0" xfId="0" applyNumberFormat="1" applyFont="1" applyFill="1"/>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32" xfId="0" applyFont="1" applyFill="1" applyBorder="1" applyAlignment="1">
      <alignment horizontal="left"/>
    </xf>
    <xf numFmtId="167" fontId="8" fillId="0" borderId="11" xfId="0" applyNumberFormat="1" applyFont="1" applyBorder="1" applyAlignment="1">
      <alignment horizontal="center"/>
    </xf>
    <xf numFmtId="5" fontId="4" fillId="2" borderId="30" xfId="0" applyNumberFormat="1" applyFont="1" applyFill="1" applyBorder="1" applyAlignment="1">
      <alignment horizontal="center"/>
    </xf>
    <xf numFmtId="0" fontId="4" fillId="5" borderId="4" xfId="0" applyFont="1" applyFill="1" applyBorder="1"/>
    <xf numFmtId="5" fontId="4" fillId="5" borderId="30" xfId="0" applyNumberFormat="1" applyFont="1" applyFill="1" applyBorder="1" applyAlignment="1">
      <alignment horizontal="center"/>
    </xf>
    <xf numFmtId="5" fontId="4" fillId="5" borderId="5" xfId="0" applyNumberFormat="1" applyFont="1" applyFill="1" applyBorder="1" applyAlignment="1">
      <alignment horizontal="center"/>
    </xf>
    <xf numFmtId="5" fontId="10" fillId="2" borderId="30" xfId="2" applyNumberFormat="1" applyFont="1" applyFill="1" applyBorder="1" applyAlignment="1">
      <alignment horizontal="center"/>
    </xf>
    <xf numFmtId="5" fontId="10" fillId="2" borderId="5" xfId="2" applyNumberFormat="1" applyFont="1" applyFill="1" applyBorder="1" applyAlignment="1">
      <alignment horizontal="center"/>
    </xf>
    <xf numFmtId="9" fontId="10" fillId="2" borderId="35" xfId="0" applyNumberFormat="1" applyFont="1" applyFill="1" applyBorder="1" applyAlignment="1">
      <alignment horizontal="center"/>
    </xf>
    <xf numFmtId="6" fontId="10" fillId="2" borderId="35" xfId="0" applyNumberFormat="1" applyFont="1" applyFill="1" applyBorder="1" applyAlignment="1">
      <alignment horizontal="center"/>
    </xf>
    <xf numFmtId="6" fontId="10" fillId="2" borderId="30" xfId="0" applyNumberFormat="1" applyFont="1" applyFill="1" applyBorder="1" applyAlignment="1">
      <alignment horizontal="center"/>
    </xf>
    <xf numFmtId="6" fontId="10" fillId="2" borderId="5" xfId="0" applyNumberFormat="1" applyFont="1" applyFill="1" applyBorder="1" applyAlignment="1">
      <alignment horizontal="center"/>
    </xf>
    <xf numFmtId="0" fontId="4" fillId="5" borderId="23" xfId="0" applyFont="1" applyFill="1" applyBorder="1"/>
    <xf numFmtId="6" fontId="10" fillId="2" borderId="30" xfId="2" applyNumberFormat="1" applyFont="1" applyFill="1" applyBorder="1" applyAlignment="1">
      <alignment horizontal="center"/>
    </xf>
    <xf numFmtId="6" fontId="10" fillId="2" borderId="5" xfId="2" applyNumberFormat="1" applyFont="1" applyFill="1" applyBorder="1" applyAlignment="1">
      <alignment horizontal="center"/>
    </xf>
    <xf numFmtId="6" fontId="10" fillId="2" borderId="37" xfId="2" applyNumberFormat="1" applyFont="1" applyFill="1" applyBorder="1" applyAlignment="1">
      <alignment horizontal="center"/>
    </xf>
    <xf numFmtId="0" fontId="10" fillId="2" borderId="9" xfId="0" applyFont="1" applyFill="1" applyBorder="1"/>
    <xf numFmtId="9" fontId="10" fillId="2" borderId="34" xfId="0" applyNumberFormat="1" applyFont="1" applyFill="1" applyBorder="1" applyAlignment="1">
      <alignment horizontal="center"/>
    </xf>
    <xf numFmtId="9" fontId="10" fillId="2" borderId="39" xfId="2" applyFont="1" applyFill="1" applyBorder="1" applyAlignment="1">
      <alignment horizontal="center"/>
    </xf>
    <xf numFmtId="0" fontId="4" fillId="0" borderId="6" xfId="0" applyFont="1" applyBorder="1"/>
    <xf numFmtId="0" fontId="4" fillId="0" borderId="7" xfId="0" applyFont="1" applyBorder="1"/>
    <xf numFmtId="0" fontId="4" fillId="0" borderId="7" xfId="0" applyFont="1" applyBorder="1" applyAlignment="1">
      <alignment wrapText="1"/>
    </xf>
    <xf numFmtId="0" fontId="4" fillId="0" borderId="8" xfId="0" applyFont="1" applyBorder="1" applyAlignment="1">
      <alignment wrapText="1"/>
    </xf>
    <xf numFmtId="5" fontId="10" fillId="10" borderId="4" xfId="0" applyNumberFormat="1" applyFont="1" applyFill="1" applyBorder="1" applyAlignment="1">
      <alignment horizontal="left"/>
    </xf>
    <xf numFmtId="0" fontId="0" fillId="10" borderId="5" xfId="0" applyFill="1" applyBorder="1" applyAlignment="1">
      <alignment horizontal="center"/>
    </xf>
    <xf numFmtId="0" fontId="10" fillId="10" borderId="4" xfId="0" applyFont="1" applyFill="1" applyBorder="1" applyAlignment="1">
      <alignment horizontal="left"/>
    </xf>
    <xf numFmtId="5" fontId="10" fillId="11" borderId="4" xfId="0" applyNumberFormat="1" applyFont="1" applyFill="1" applyBorder="1" applyAlignment="1">
      <alignment horizontal="left"/>
    </xf>
    <xf numFmtId="0" fontId="0" fillId="11" borderId="5" xfId="0" applyFill="1" applyBorder="1" applyAlignment="1">
      <alignment horizontal="center"/>
    </xf>
    <xf numFmtId="0" fontId="10" fillId="11" borderId="4" xfId="0" applyFont="1" applyFill="1" applyBorder="1" applyAlignment="1">
      <alignment horizontal="left"/>
    </xf>
    <xf numFmtId="0" fontId="10" fillId="6" borderId="4" xfId="0" applyFont="1" applyFill="1" applyBorder="1" applyAlignment="1">
      <alignment horizontal="left"/>
    </xf>
    <xf numFmtId="0" fontId="0" fillId="6" borderId="5" xfId="0" applyFill="1" applyBorder="1" applyAlignment="1">
      <alignment horizontal="center"/>
    </xf>
    <xf numFmtId="0" fontId="10" fillId="12" borderId="4" xfId="0" applyFont="1" applyFill="1" applyBorder="1" applyAlignment="1">
      <alignment horizontal="left"/>
    </xf>
    <xf numFmtId="0" fontId="0" fillId="12" borderId="5" xfId="0" applyFill="1" applyBorder="1" applyAlignment="1">
      <alignment horizontal="center"/>
    </xf>
    <xf numFmtId="0" fontId="10" fillId="8" borderId="4" xfId="0" applyFont="1" applyFill="1" applyBorder="1" applyAlignment="1">
      <alignment horizontal="left"/>
    </xf>
    <xf numFmtId="0" fontId="0" fillId="8" borderId="5" xfId="0" applyFill="1" applyBorder="1" applyAlignment="1">
      <alignment horizontal="center"/>
    </xf>
    <xf numFmtId="0" fontId="10" fillId="6" borderId="9" xfId="0" applyFont="1" applyFill="1" applyBorder="1" applyAlignment="1">
      <alignment horizontal="left"/>
    </xf>
    <xf numFmtId="0" fontId="10" fillId="6" borderId="10" xfId="0" applyFont="1" applyFill="1" applyBorder="1" applyAlignment="1">
      <alignment horizontal="left"/>
    </xf>
    <xf numFmtId="0" fontId="0" fillId="6" borderId="10" xfId="0" applyFill="1" applyBorder="1"/>
    <xf numFmtId="0" fontId="0" fillId="6" borderId="10" xfId="0" applyFill="1" applyBorder="1" applyAlignment="1">
      <alignment horizontal="center"/>
    </xf>
    <xf numFmtId="0" fontId="0" fillId="6" borderId="11" xfId="0" applyFill="1" applyBorder="1" applyAlignment="1">
      <alignment horizontal="center"/>
    </xf>
    <xf numFmtId="0" fontId="4" fillId="11" borderId="7" xfId="1" applyNumberFormat="1" applyFont="1" applyFill="1" applyBorder="1" applyProtection="1"/>
    <xf numFmtId="0" fontId="0" fillId="2" borderId="0" xfId="0" applyFill="1" applyBorder="1"/>
    <xf numFmtId="5" fontId="0" fillId="2" borderId="0" xfId="0" applyNumberFormat="1" applyFill="1" applyBorder="1" applyAlignment="1">
      <alignment horizontal="center"/>
    </xf>
    <xf numFmtId="0" fontId="4" fillId="11" borderId="0" xfId="0" applyFont="1" applyFill="1" applyBorder="1" applyAlignment="1">
      <alignment horizontal="center" vertical="center"/>
    </xf>
    <xf numFmtId="0" fontId="4" fillId="11" borderId="0" xfId="0" applyFont="1" applyFill="1" applyBorder="1" applyAlignment="1">
      <alignment horizontal="center"/>
    </xf>
    <xf numFmtId="0" fontId="5" fillId="2" borderId="0" xfId="0" applyFont="1" applyFill="1" applyBorder="1"/>
    <xf numFmtId="0" fontId="4" fillId="2" borderId="0" xfId="0" applyFont="1" applyFill="1" applyBorder="1"/>
    <xf numFmtId="0" fontId="4" fillId="4" borderId="7" xfId="0" applyFont="1" applyFill="1" applyBorder="1" applyAlignment="1">
      <alignment horizontal="center"/>
    </xf>
    <xf numFmtId="0" fontId="30" fillId="2" borderId="0" xfId="0" applyFont="1" applyFill="1"/>
    <xf numFmtId="0" fontId="4" fillId="2" borderId="7" xfId="0" applyFont="1" applyFill="1" applyBorder="1"/>
    <xf numFmtId="0" fontId="4" fillId="2" borderId="8" xfId="0" applyFont="1" applyFill="1" applyBorder="1"/>
    <xf numFmtId="0" fontId="31" fillId="2" borderId="0" xfId="0" applyFont="1" applyFill="1"/>
    <xf numFmtId="0" fontId="31" fillId="2" borderId="0" xfId="0" applyFont="1" applyFill="1" applyAlignment="1">
      <alignment horizontal="left"/>
    </xf>
    <xf numFmtId="0" fontId="32" fillId="2" borderId="0" xfId="0" applyFont="1" applyFill="1"/>
    <xf numFmtId="0" fontId="22" fillId="2" borderId="0" xfId="0" applyFont="1" applyFill="1"/>
    <xf numFmtId="0" fontId="9" fillId="2" borderId="0" xfId="0" applyFont="1" applyFill="1" applyAlignment="1">
      <alignment horizontal="left"/>
    </xf>
    <xf numFmtId="0" fontId="0" fillId="0" borderId="8" xfId="0" applyBorder="1"/>
    <xf numFmtId="0" fontId="13" fillId="2" borderId="0" xfId="0" applyFont="1" applyFill="1" applyAlignment="1">
      <alignment horizontal="left"/>
    </xf>
    <xf numFmtId="0" fontId="0" fillId="2" borderId="0" xfId="0" applyFill="1" applyAlignment="1">
      <alignment horizontal="left" indent="2"/>
    </xf>
    <xf numFmtId="0" fontId="0" fillId="2" borderId="0" xfId="0" applyFill="1" applyAlignment="1">
      <alignment horizontal="center"/>
    </xf>
    <xf numFmtId="0" fontId="34" fillId="2" borderId="0" xfId="0" applyFont="1" applyFill="1" applyAlignment="1">
      <alignment horizontal="left"/>
    </xf>
    <xf numFmtId="170" fontId="0" fillId="2" borderId="0" xfId="0" applyNumberFormat="1" applyFill="1"/>
    <xf numFmtId="165" fontId="0" fillId="2" borderId="0" xfId="1" applyNumberFormat="1" applyFont="1" applyFill="1"/>
    <xf numFmtId="43" fontId="0" fillId="2" borderId="0" xfId="0" applyNumberFormat="1" applyFill="1"/>
    <xf numFmtId="9" fontId="0" fillId="2" borderId="0" xfId="2" applyFont="1" applyFill="1"/>
    <xf numFmtId="165" fontId="23" fillId="2" borderId="0" xfId="1" applyNumberFormat="1" applyFont="1" applyFill="1"/>
    <xf numFmtId="5" fontId="3" fillId="2" borderId="0" xfId="0" applyNumberFormat="1" applyFont="1" applyFill="1"/>
    <xf numFmtId="165" fontId="4" fillId="2" borderId="0" xfId="1" applyNumberFormat="1" applyFont="1" applyFill="1"/>
    <xf numFmtId="165" fontId="0" fillId="2" borderId="0" xfId="0" applyNumberFormat="1" applyFill="1"/>
    <xf numFmtId="6" fontId="0" fillId="2" borderId="7" xfId="0" applyNumberFormat="1" applyFill="1" applyBorder="1" applyAlignment="1">
      <alignment horizontal="center"/>
    </xf>
    <xf numFmtId="165" fontId="20" fillId="2" borderId="0" xfId="1" applyNumberFormat="1" applyFont="1" applyFill="1"/>
    <xf numFmtId="6" fontId="10" fillId="2" borderId="0" xfId="0" applyNumberFormat="1" applyFont="1" applyFill="1" applyAlignment="1">
      <alignment horizontal="center"/>
    </xf>
    <xf numFmtId="43" fontId="0" fillId="2" borderId="0" xfId="1" applyFont="1" applyFill="1"/>
    <xf numFmtId="0" fontId="4" fillId="5" borderId="9" xfId="0" applyFont="1" applyFill="1" applyBorder="1"/>
    <xf numFmtId="6" fontId="4" fillId="5" borderId="11" xfId="0" applyNumberFormat="1" applyFont="1" applyFill="1" applyBorder="1" applyAlignment="1">
      <alignment horizontal="center"/>
    </xf>
    <xf numFmtId="6" fontId="0" fillId="2" borderId="0" xfId="0" applyNumberFormat="1" applyFill="1"/>
    <xf numFmtId="0" fontId="28" fillId="2" borderId="0" xfId="0" applyFont="1" applyFill="1"/>
    <xf numFmtId="0" fontId="7" fillId="2" borderId="0" xfId="0" applyFont="1" applyFill="1" applyBorder="1"/>
    <xf numFmtId="5" fontId="4" fillId="2" borderId="0" xfId="0" applyNumberFormat="1" applyFont="1" applyFill="1" applyBorder="1" applyAlignment="1">
      <alignment horizontal="center"/>
    </xf>
    <xf numFmtId="0" fontId="4" fillId="2" borderId="10" xfId="0" applyFont="1" applyFill="1" applyBorder="1"/>
    <xf numFmtId="0" fontId="25" fillId="0" borderId="0" xfId="0" applyFont="1" applyAlignment="1">
      <alignment horizontal="left"/>
    </xf>
    <xf numFmtId="0" fontId="4" fillId="5" borderId="4" xfId="0" applyFont="1" applyFill="1" applyBorder="1" applyAlignment="1">
      <alignment horizontal="center" vertical="top"/>
    </xf>
    <xf numFmtId="0" fontId="4" fillId="5" borderId="5" xfId="0" applyFont="1" applyFill="1" applyBorder="1" applyAlignment="1">
      <alignment horizontal="center" vertical="top"/>
    </xf>
    <xf numFmtId="0" fontId="0" fillId="2" borderId="0" xfId="0" applyFont="1" applyFill="1"/>
    <xf numFmtId="1" fontId="0" fillId="8" borderId="0" xfId="3" applyNumberFormat="1" applyFont="1" applyFill="1" applyAlignment="1" applyProtection="1">
      <alignment horizontal="center"/>
      <protection locked="0"/>
    </xf>
    <xf numFmtId="0" fontId="0" fillId="0" borderId="0" xfId="0" applyFont="1"/>
    <xf numFmtId="5" fontId="0" fillId="2" borderId="10" xfId="0" applyNumberFormat="1" applyFont="1" applyFill="1" applyBorder="1" applyAlignment="1">
      <alignment horizontal="center"/>
    </xf>
    <xf numFmtId="2" fontId="8" fillId="2" borderId="0" xfId="0" applyNumberFormat="1" applyFont="1" applyFill="1" applyBorder="1" applyAlignment="1">
      <alignment horizontal="center"/>
    </xf>
    <xf numFmtId="0" fontId="10" fillId="2" borderId="0" xfId="0" applyFont="1" applyFill="1" applyBorder="1"/>
    <xf numFmtId="0" fontId="10" fillId="2" borderId="7" xfId="0" applyFont="1" applyFill="1" applyBorder="1"/>
    <xf numFmtId="0" fontId="10" fillId="2" borderId="8" xfId="0" applyFont="1" applyFill="1" applyBorder="1"/>
    <xf numFmtId="9" fontId="10" fillId="2" borderId="0" xfId="2" applyFont="1" applyFill="1" applyBorder="1" applyAlignment="1">
      <alignment horizontal="center"/>
    </xf>
    <xf numFmtId="0" fontId="10" fillId="2" borderId="5" xfId="0" applyFont="1" applyFill="1" applyBorder="1"/>
    <xf numFmtId="0" fontId="0" fillId="2" borderId="4" xfId="0" applyFont="1" applyFill="1" applyBorder="1"/>
    <xf numFmtId="0" fontId="0" fillId="2" borderId="0" xfId="0" applyFont="1" applyFill="1" applyBorder="1"/>
    <xf numFmtId="0" fontId="0" fillId="2" borderId="0" xfId="0" applyFont="1" applyFill="1" applyBorder="1" applyAlignment="1">
      <alignment horizontal="left" indent="2"/>
    </xf>
    <xf numFmtId="0" fontId="30" fillId="2" borderId="0" xfId="0" applyFont="1" applyFill="1" applyBorder="1"/>
    <xf numFmtId="5" fontId="0" fillId="2" borderId="0" xfId="0" applyNumberFormat="1" applyFont="1" applyFill="1" applyBorder="1" applyAlignment="1">
      <alignment horizontal="center"/>
    </xf>
    <xf numFmtId="0" fontId="4" fillId="2" borderId="6" xfId="0" applyFont="1" applyFill="1" applyBorder="1" applyAlignment="1">
      <alignment horizontal="left"/>
    </xf>
    <xf numFmtId="5" fontId="0" fillId="8" borderId="0" xfId="0" applyNumberFormat="1" applyFont="1" applyFill="1" applyBorder="1" applyAlignment="1" applyProtection="1">
      <alignment horizontal="center"/>
      <protection locked="0"/>
    </xf>
    <xf numFmtId="0" fontId="3" fillId="2" borderId="0" xfId="0" applyFont="1" applyFill="1" applyBorder="1"/>
    <xf numFmtId="7" fontId="3" fillId="2" borderId="0" xfId="0" applyNumberFormat="1" applyFont="1" applyFill="1"/>
    <xf numFmtId="5" fontId="0" fillId="2" borderId="5" xfId="0" applyNumberFormat="1" applyFont="1" applyFill="1" applyBorder="1" applyAlignment="1">
      <alignment horizontal="center"/>
    </xf>
    <xf numFmtId="0" fontId="30" fillId="2" borderId="6" xfId="0" applyFont="1" applyFill="1" applyBorder="1"/>
    <xf numFmtId="0" fontId="31" fillId="2" borderId="0" xfId="0" applyFont="1" applyFill="1" applyBorder="1"/>
    <xf numFmtId="0" fontId="31" fillId="2" borderId="10" xfId="0" applyFont="1" applyFill="1" applyBorder="1"/>
    <xf numFmtId="0" fontId="10" fillId="2" borderId="4" xfId="0" applyFont="1" applyFill="1" applyBorder="1" applyAlignment="1">
      <alignment horizontal="left" indent="2"/>
    </xf>
    <xf numFmtId="0" fontId="34" fillId="2" borderId="4" xfId="0" applyFont="1" applyFill="1" applyBorder="1" applyAlignment="1">
      <alignment horizontal="left" indent="1"/>
    </xf>
    <xf numFmtId="0" fontId="30" fillId="2" borderId="0"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wrapText="1"/>
    </xf>
    <xf numFmtId="166" fontId="0" fillId="2" borderId="0" xfId="0" applyNumberFormat="1" applyFont="1" applyFill="1" applyAlignment="1">
      <alignment horizontal="center"/>
    </xf>
    <xf numFmtId="5" fontId="0" fillId="2" borderId="0" xfId="0" applyNumberFormat="1" applyFont="1" applyFill="1"/>
    <xf numFmtId="0" fontId="0" fillId="2" borderId="40" xfId="0" applyFont="1" applyFill="1" applyBorder="1"/>
    <xf numFmtId="5" fontId="0" fillId="2" borderId="41" xfId="0" applyNumberFormat="1" applyFont="1" applyFill="1" applyBorder="1" applyAlignment="1">
      <alignment horizontal="center"/>
    </xf>
    <xf numFmtId="0" fontId="0" fillId="2" borderId="41" xfId="0" applyFont="1" applyFill="1" applyBorder="1" applyAlignment="1">
      <alignment horizontal="center"/>
    </xf>
    <xf numFmtId="0" fontId="0" fillId="2" borderId="5" xfId="0" applyFont="1" applyFill="1" applyBorder="1" applyAlignment="1">
      <alignment horizontal="center"/>
    </xf>
    <xf numFmtId="0" fontId="0" fillId="8" borderId="5" xfId="0" applyFont="1" applyFill="1" applyBorder="1" applyAlignment="1" applyProtection="1">
      <alignment horizontal="center"/>
      <protection locked="0"/>
    </xf>
    <xf numFmtId="0" fontId="0" fillId="2" borderId="9" xfId="0" applyFont="1" applyFill="1" applyBorder="1"/>
    <xf numFmtId="0" fontId="0" fillId="8" borderId="10" xfId="0" applyFont="1" applyFill="1" applyBorder="1" applyAlignment="1" applyProtection="1">
      <alignment horizontal="center"/>
      <protection locked="0"/>
    </xf>
    <xf numFmtId="0" fontId="0" fillId="8" borderId="11" xfId="0" applyFont="1" applyFill="1" applyBorder="1" applyAlignment="1" applyProtection="1">
      <alignment horizontal="center"/>
      <protection locked="0"/>
    </xf>
    <xf numFmtId="0" fontId="0" fillId="5" borderId="4" xfId="0" applyFont="1" applyFill="1" applyBorder="1" applyAlignment="1">
      <alignment horizontal="center"/>
    </xf>
    <xf numFmtId="0" fontId="0" fillId="5" borderId="5" xfId="0" applyFont="1" applyFill="1" applyBorder="1" applyAlignment="1">
      <alignment horizontal="center"/>
    </xf>
    <xf numFmtId="0" fontId="0" fillId="5" borderId="0" xfId="0" applyFont="1" applyFill="1" applyBorder="1" applyAlignment="1">
      <alignment horizontal="center"/>
    </xf>
    <xf numFmtId="0" fontId="0" fillId="2" borderId="6" xfId="0" applyFont="1" applyFill="1" applyBorder="1" applyAlignment="1">
      <alignment horizontal="center"/>
    </xf>
    <xf numFmtId="0" fontId="0" fillId="2" borderId="8" xfId="0" applyFont="1" applyFill="1" applyBorder="1" applyAlignment="1">
      <alignment horizontal="center"/>
    </xf>
    <xf numFmtId="5" fontId="0" fillId="2" borderId="8" xfId="0" applyNumberFormat="1" applyFont="1" applyFill="1" applyBorder="1" applyAlignment="1">
      <alignment horizontal="center"/>
    </xf>
    <xf numFmtId="0" fontId="0" fillId="8" borderId="6" xfId="0" applyFont="1" applyFill="1" applyBorder="1" applyAlignment="1" applyProtection="1">
      <alignment horizontal="center"/>
      <protection locked="0"/>
    </xf>
    <xf numFmtId="0" fontId="0" fillId="8" borderId="7" xfId="0" applyFont="1" applyFill="1" applyBorder="1" applyAlignment="1" applyProtection="1">
      <alignment horizontal="center"/>
      <protection locked="0"/>
    </xf>
    <xf numFmtId="0" fontId="0" fillId="8" borderId="8" xfId="0" applyFont="1" applyFill="1" applyBorder="1" applyAlignment="1" applyProtection="1">
      <alignment horizontal="center"/>
      <protection locked="0"/>
    </xf>
    <xf numFmtId="0" fontId="0" fillId="2" borderId="4" xfId="0" applyFont="1" applyFill="1" applyBorder="1" applyAlignment="1">
      <alignment horizontal="center"/>
    </xf>
    <xf numFmtId="0" fontId="0" fillId="8" borderId="4" xfId="0" applyFont="1" applyFill="1" applyBorder="1" applyAlignment="1" applyProtection="1">
      <alignment horizontal="center"/>
      <protection locked="0"/>
    </xf>
    <xf numFmtId="0" fontId="0" fillId="8" borderId="0" xfId="0" applyFont="1" applyFill="1" applyBorder="1" applyAlignment="1" applyProtection="1">
      <alignment horizontal="center"/>
      <protection locked="0"/>
    </xf>
    <xf numFmtId="0" fontId="0" fillId="2" borderId="9" xfId="0" applyFont="1" applyFill="1" applyBorder="1" applyAlignment="1">
      <alignment horizontal="center"/>
    </xf>
    <xf numFmtId="0" fontId="0" fillId="2" borderId="11" xfId="0" applyFont="1" applyFill="1" applyBorder="1" applyAlignment="1">
      <alignment horizontal="center"/>
    </xf>
    <xf numFmtId="5" fontId="0" fillId="2" borderId="11" xfId="0" applyNumberFormat="1" applyFont="1" applyFill="1" applyBorder="1" applyAlignment="1">
      <alignment horizontal="center"/>
    </xf>
    <xf numFmtId="5" fontId="0" fillId="2" borderId="0" xfId="0" applyNumberFormat="1" applyFont="1" applyFill="1" applyAlignment="1">
      <alignment horizontal="center"/>
    </xf>
    <xf numFmtId="0" fontId="0" fillId="5" borderId="6" xfId="0" applyFont="1" applyFill="1" applyBorder="1"/>
    <xf numFmtId="0" fontId="0" fillId="2" borderId="5" xfId="0" applyFont="1" applyFill="1" applyBorder="1"/>
    <xf numFmtId="0" fontId="0" fillId="0" borderId="5" xfId="0" applyFont="1" applyBorder="1"/>
    <xf numFmtId="5" fontId="0" fillId="2" borderId="13" xfId="0" applyNumberFormat="1" applyFont="1" applyFill="1" applyBorder="1" applyAlignment="1">
      <alignment horizontal="center"/>
    </xf>
    <xf numFmtId="0" fontId="0" fillId="11" borderId="4" xfId="0" applyFont="1" applyFill="1" applyBorder="1" applyAlignment="1">
      <alignment horizontal="left" vertical="center"/>
    </xf>
    <xf numFmtId="0" fontId="0" fillId="2" borderId="0" xfId="0" applyFont="1" applyFill="1" applyBorder="1" applyAlignment="1">
      <alignment horizontal="left"/>
    </xf>
    <xf numFmtId="0" fontId="0" fillId="2" borderId="0" xfId="0" applyFont="1" applyFill="1" applyBorder="1" applyAlignment="1">
      <alignment horizontal="center"/>
    </xf>
    <xf numFmtId="167" fontId="0" fillId="2" borderId="0" xfId="0" applyNumberFormat="1" applyFont="1" applyFill="1" applyBorder="1" applyAlignment="1">
      <alignment horizontal="center"/>
    </xf>
    <xf numFmtId="167" fontId="0" fillId="2" borderId="5" xfId="0" applyNumberFormat="1" applyFont="1" applyFill="1" applyBorder="1" applyAlignment="1">
      <alignment horizontal="center"/>
    </xf>
    <xf numFmtId="0" fontId="0" fillId="2" borderId="4" xfId="0" applyFont="1" applyFill="1" applyBorder="1" applyAlignment="1">
      <alignment horizontal="left"/>
    </xf>
    <xf numFmtId="167" fontId="0" fillId="2" borderId="10" xfId="0" applyNumberFormat="1" applyFont="1" applyFill="1" applyBorder="1" applyAlignment="1">
      <alignment horizontal="center"/>
    </xf>
    <xf numFmtId="0" fontId="0" fillId="2" borderId="10" xfId="0" applyFont="1" applyFill="1" applyBorder="1"/>
    <xf numFmtId="167" fontId="0" fillId="2" borderId="11" xfId="0" applyNumberFormat="1" applyFont="1" applyFill="1" applyBorder="1" applyAlignment="1">
      <alignment horizontal="center"/>
    </xf>
    <xf numFmtId="0" fontId="0" fillId="2" borderId="10" xfId="0" applyFont="1" applyFill="1" applyBorder="1" applyAlignment="1">
      <alignment horizontal="center"/>
    </xf>
    <xf numFmtId="0" fontId="0" fillId="2" borderId="7" xfId="0" applyFont="1" applyFill="1" applyBorder="1"/>
    <xf numFmtId="0" fontId="0" fillId="2" borderId="9" xfId="0" applyFont="1" applyFill="1" applyBorder="1" applyAlignment="1">
      <alignment horizontal="left"/>
    </xf>
    <xf numFmtId="167" fontId="0" fillId="11" borderId="5" xfId="0" applyNumberFormat="1" applyFont="1" applyFill="1" applyBorder="1" applyAlignment="1">
      <alignment horizontal="center"/>
    </xf>
    <xf numFmtId="167" fontId="0" fillId="2" borderId="0" xfId="0" applyNumberFormat="1" applyFont="1" applyFill="1" applyAlignment="1">
      <alignment horizontal="center"/>
    </xf>
    <xf numFmtId="6" fontId="0" fillId="2" borderId="0" xfId="0" applyNumberFormat="1" applyFont="1" applyFill="1" applyAlignment="1">
      <alignment horizontal="center"/>
    </xf>
    <xf numFmtId="164" fontId="0" fillId="2" borderId="0" xfId="0" applyNumberFormat="1" applyFont="1" applyFill="1" applyAlignment="1">
      <alignment horizontal="center"/>
    </xf>
    <xf numFmtId="3" fontId="0" fillId="2" borderId="0" xfId="0" applyNumberFormat="1" applyFont="1" applyFill="1" applyAlignment="1">
      <alignment horizontal="center"/>
    </xf>
    <xf numFmtId="9" fontId="0" fillId="2" borderId="0" xfId="0" applyNumberFormat="1" applyFont="1" applyFill="1" applyBorder="1" applyAlignment="1">
      <alignment horizontal="center"/>
    </xf>
    <xf numFmtId="0" fontId="0" fillId="11" borderId="0" xfId="0" applyFont="1" applyFill="1" applyBorder="1"/>
    <xf numFmtId="0" fontId="0" fillId="11" borderId="0" xfId="0" applyFont="1" applyFill="1" applyBorder="1" applyAlignment="1">
      <alignment horizontal="center"/>
    </xf>
    <xf numFmtId="5" fontId="10" fillId="2" borderId="0" xfId="0" applyNumberFormat="1" applyFont="1" applyFill="1" applyBorder="1" applyAlignment="1">
      <alignment horizontal="center"/>
    </xf>
    <xf numFmtId="0" fontId="8" fillId="2" borderId="4" xfId="0" applyFont="1" applyFill="1" applyBorder="1" applyAlignment="1">
      <alignment horizontal="left" indent="1"/>
    </xf>
    <xf numFmtId="0" fontId="0" fillId="8" borderId="14" xfId="0" applyFont="1" applyFill="1" applyBorder="1" applyAlignment="1" applyProtection="1">
      <alignment horizontal="center"/>
      <protection locked="0"/>
    </xf>
    <xf numFmtId="0" fontId="0" fillId="8" borderId="12" xfId="0" applyFont="1" applyFill="1" applyBorder="1" applyAlignment="1" applyProtection="1">
      <alignment horizontal="center"/>
      <protection locked="0"/>
    </xf>
    <xf numFmtId="0" fontId="0" fillId="8" borderId="13" xfId="0" applyFont="1" applyFill="1" applyBorder="1" applyAlignment="1" applyProtection="1">
      <alignment horizontal="center"/>
      <protection locked="0"/>
    </xf>
    <xf numFmtId="5" fontId="0" fillId="8" borderId="4" xfId="0" applyNumberFormat="1" applyFont="1" applyFill="1" applyBorder="1" applyAlignment="1" applyProtection="1">
      <alignment horizontal="center"/>
      <protection locked="0"/>
    </xf>
    <xf numFmtId="5" fontId="0" fillId="8" borderId="9" xfId="0" applyNumberFormat="1" applyFont="1" applyFill="1" applyBorder="1" applyAlignment="1" applyProtection="1">
      <alignment horizontal="center"/>
      <protection locked="0"/>
    </xf>
    <xf numFmtId="5" fontId="0" fillId="8" borderId="10" xfId="0" applyNumberFormat="1" applyFont="1" applyFill="1" applyBorder="1" applyAlignment="1" applyProtection="1">
      <alignment horizontal="center"/>
      <protection locked="0"/>
    </xf>
    <xf numFmtId="0" fontId="10" fillId="2" borderId="0" xfId="3" applyFont="1" applyFill="1"/>
    <xf numFmtId="0" fontId="3" fillId="2" borderId="0" xfId="3" applyFont="1" applyFill="1"/>
    <xf numFmtId="0" fontId="10" fillId="2" borderId="0" xfId="3" applyFont="1" applyFill="1" applyBorder="1"/>
    <xf numFmtId="0" fontId="10" fillId="2" borderId="10" xfId="3" applyFont="1" applyFill="1" applyBorder="1"/>
    <xf numFmtId="0" fontId="10" fillId="2" borderId="11" xfId="3" applyFont="1" applyFill="1" applyBorder="1"/>
    <xf numFmtId="0" fontId="8" fillId="2" borderId="0" xfId="3" applyFont="1" applyFill="1"/>
    <xf numFmtId="0" fontId="10" fillId="2" borderId="0" xfId="3" applyFont="1" applyFill="1" applyAlignment="1">
      <alignment horizontal="left" indent="1"/>
    </xf>
    <xf numFmtId="165" fontId="10" fillId="2" borderId="0" xfId="1" applyNumberFormat="1" applyFont="1" applyFill="1" applyBorder="1" applyProtection="1"/>
    <xf numFmtId="0" fontId="2" fillId="2" borderId="0" xfId="0" applyFont="1" applyFill="1" applyAlignment="1">
      <alignment horizontal="center"/>
    </xf>
    <xf numFmtId="0" fontId="10" fillId="2" borderId="0" xfId="3" applyFont="1" applyFill="1" applyBorder="1" applyAlignment="1">
      <alignment horizontal="center"/>
    </xf>
    <xf numFmtId="0" fontId="34" fillId="2" borderId="0" xfId="3" applyFont="1" applyFill="1"/>
    <xf numFmtId="0" fontId="4" fillId="2" borderId="11" xfId="0" applyFont="1" applyFill="1" applyBorder="1" applyAlignment="1">
      <alignment horizontal="center"/>
    </xf>
    <xf numFmtId="0" fontId="25" fillId="2" borderId="9" xfId="0" applyFont="1" applyFill="1" applyBorder="1"/>
    <xf numFmtId="0" fontId="7" fillId="2" borderId="10" xfId="0" applyFont="1" applyFill="1" applyBorder="1"/>
    <xf numFmtId="0" fontId="7" fillId="13" borderId="11" xfId="0" applyFont="1" applyFill="1" applyBorder="1" applyAlignment="1">
      <alignment horizontal="center"/>
    </xf>
    <xf numFmtId="0" fontId="7" fillId="2" borderId="42" xfId="0" applyFont="1" applyFill="1" applyBorder="1" applyAlignment="1">
      <alignment horizontal="center"/>
    </xf>
    <xf numFmtId="0" fontId="7" fillId="2" borderId="4" xfId="0" applyFont="1" applyFill="1" applyBorder="1" applyAlignment="1">
      <alignment horizontal="left"/>
    </xf>
    <xf numFmtId="0" fontId="7" fillId="2" borderId="9" xfId="0" applyFont="1" applyFill="1" applyBorder="1" applyAlignment="1">
      <alignment horizontal="left"/>
    </xf>
    <xf numFmtId="9" fontId="10" fillId="2" borderId="0" xfId="0" applyNumberFormat="1" applyFont="1" applyFill="1" applyBorder="1" applyAlignment="1">
      <alignment horizontal="center"/>
    </xf>
    <xf numFmtId="0" fontId="10" fillId="2" borderId="0" xfId="3" applyFont="1" applyFill="1" applyBorder="1" applyAlignment="1"/>
    <xf numFmtId="0" fontId="0" fillId="2" borderId="46" xfId="0" applyFont="1" applyFill="1" applyBorder="1"/>
    <xf numFmtId="5" fontId="0" fillId="2" borderId="47" xfId="0" applyNumberFormat="1" applyFont="1" applyFill="1" applyBorder="1" applyAlignment="1">
      <alignment horizontal="center"/>
    </xf>
    <xf numFmtId="0" fontId="0" fillId="2" borderId="47" xfId="0" applyFont="1" applyFill="1" applyBorder="1" applyAlignment="1">
      <alignment horizontal="center"/>
    </xf>
    <xf numFmtId="0" fontId="0" fillId="2" borderId="48" xfId="0" applyFont="1" applyFill="1" applyBorder="1"/>
    <xf numFmtId="0" fontId="31" fillId="2" borderId="0" xfId="3" applyFont="1" applyFill="1" applyBorder="1" applyAlignment="1">
      <alignment horizontal="center"/>
    </xf>
    <xf numFmtId="0" fontId="0" fillId="2" borderId="0" xfId="0" applyFill="1" applyBorder="1" applyAlignment="1">
      <alignment horizontal="center"/>
    </xf>
    <xf numFmtId="9" fontId="0" fillId="2" borderId="0" xfId="0" applyNumberFormat="1" applyFill="1" applyAlignment="1">
      <alignment horizontal="center"/>
    </xf>
    <xf numFmtId="0" fontId="8" fillId="2" borderId="0" xfId="3" applyFont="1" applyFill="1" applyAlignment="1">
      <alignment horizontal="center"/>
    </xf>
    <xf numFmtId="0" fontId="0" fillId="2" borderId="0" xfId="0" applyFont="1" applyFill="1" applyAlignment="1">
      <alignment horizontal="center"/>
    </xf>
    <xf numFmtId="0" fontId="0" fillId="5" borderId="7" xfId="0" applyFont="1" applyFill="1" applyBorder="1" applyAlignment="1">
      <alignment horizontal="center"/>
    </xf>
    <xf numFmtId="0" fontId="0" fillId="5" borderId="8" xfId="0" applyFont="1" applyFill="1" applyBorder="1" applyAlignment="1">
      <alignment horizontal="center"/>
    </xf>
    <xf numFmtId="9" fontId="10" fillId="8" borderId="0" xfId="2" applyFont="1" applyFill="1" applyAlignment="1" applyProtection="1">
      <alignment horizontal="center"/>
      <protection locked="0"/>
    </xf>
    <xf numFmtId="9" fontId="10" fillId="8" borderId="10" xfId="2" applyFont="1" applyFill="1" applyBorder="1" applyAlignment="1" applyProtection="1">
      <alignment horizontal="center"/>
      <protection locked="0"/>
    </xf>
    <xf numFmtId="5" fontId="0" fillId="2" borderId="11" xfId="1" applyNumberFormat="1" applyFont="1" applyFill="1" applyBorder="1" applyAlignment="1" applyProtection="1">
      <alignment horizontal="center"/>
    </xf>
    <xf numFmtId="0" fontId="0" fillId="5" borderId="7" xfId="0" applyFont="1" applyFill="1" applyBorder="1" applyAlignment="1">
      <alignment horizontal="center"/>
    </xf>
    <xf numFmtId="0" fontId="0" fillId="5" borderId="8" xfId="0" applyFont="1" applyFill="1" applyBorder="1" applyAlignment="1">
      <alignment horizontal="center"/>
    </xf>
    <xf numFmtId="0" fontId="10" fillId="0" borderId="0" xfId="0" applyFont="1"/>
    <xf numFmtId="0" fontId="3" fillId="0" borderId="0" xfId="0" applyFont="1"/>
    <xf numFmtId="0" fontId="22" fillId="2" borderId="0" xfId="0" applyFont="1" applyFill="1" applyBorder="1" applyAlignment="1">
      <alignment horizontal="right"/>
    </xf>
    <xf numFmtId="5" fontId="0" fillId="11" borderId="0" xfId="0" applyNumberFormat="1" applyFont="1" applyFill="1" applyBorder="1" applyAlignment="1">
      <alignment horizontal="center"/>
    </xf>
    <xf numFmtId="167" fontId="0" fillId="11" borderId="0" xfId="0" applyNumberFormat="1" applyFont="1" applyFill="1" applyBorder="1" applyAlignment="1">
      <alignment horizontal="center"/>
    </xf>
    <xf numFmtId="0" fontId="5" fillId="2" borderId="0" xfId="3" applyFont="1" applyFill="1"/>
    <xf numFmtId="0" fontId="30" fillId="2" borderId="0" xfId="0" applyFont="1" applyFill="1" applyAlignment="1">
      <alignment vertical="top"/>
    </xf>
    <xf numFmtId="0" fontId="4" fillId="2" borderId="0" xfId="0" applyFont="1" applyFill="1" applyBorder="1" applyAlignment="1">
      <alignment vertical="top"/>
    </xf>
    <xf numFmtId="5" fontId="0" fillId="8" borderId="0" xfId="0" applyNumberFormat="1" applyFont="1" applyFill="1" applyBorder="1" applyAlignment="1" applyProtection="1">
      <alignment horizontal="center" vertical="top"/>
      <protection locked="0"/>
    </xf>
    <xf numFmtId="0" fontId="0" fillId="2" borderId="0" xfId="0" applyFont="1" applyFill="1" applyBorder="1" applyAlignment="1">
      <alignment horizontal="left" vertical="top" indent="2"/>
    </xf>
    <xf numFmtId="0" fontId="4" fillId="2" borderId="23" xfId="0" applyFont="1" applyFill="1" applyBorder="1"/>
    <xf numFmtId="0" fontId="10" fillId="2" borderId="4" xfId="0" applyFont="1" applyFill="1" applyBorder="1" applyAlignment="1">
      <alignment horizontal="left"/>
    </xf>
    <xf numFmtId="0" fontId="0" fillId="2" borderId="51" xfId="0" applyFont="1" applyFill="1" applyBorder="1" applyAlignment="1">
      <alignment horizontal="left"/>
    </xf>
    <xf numFmtId="5" fontId="0" fillId="2" borderId="53" xfId="0" applyNumberFormat="1" applyFont="1" applyFill="1" applyBorder="1" applyAlignment="1">
      <alignment horizontal="center"/>
    </xf>
    <xf numFmtId="0" fontId="4" fillId="2" borderId="25" xfId="0" applyFont="1" applyFill="1" applyBorder="1" applyAlignment="1">
      <alignment horizontal="center"/>
    </xf>
    <xf numFmtId="5" fontId="0" fillId="2" borderId="55" xfId="0" applyNumberFormat="1" applyFont="1" applyFill="1" applyBorder="1" applyAlignment="1">
      <alignment horizontal="center"/>
    </xf>
    <xf numFmtId="5" fontId="10" fillId="2" borderId="30" xfId="0" applyNumberFormat="1" applyFont="1" applyFill="1" applyBorder="1" applyAlignment="1">
      <alignment horizontal="center"/>
    </xf>
    <xf numFmtId="0" fontId="4" fillId="3" borderId="0" xfId="0" applyFont="1" applyFill="1" applyBorder="1"/>
    <xf numFmtId="0" fontId="0" fillId="3" borderId="0" xfId="0" applyFill="1" applyBorder="1"/>
    <xf numFmtId="0" fontId="35" fillId="2" borderId="0" xfId="0" applyFont="1" applyFill="1" applyBorder="1" applyAlignment="1">
      <alignment vertical="top"/>
    </xf>
    <xf numFmtId="0" fontId="0" fillId="0" borderId="0" xfId="0" applyFont="1" applyAlignment="1">
      <alignment vertical="top"/>
    </xf>
    <xf numFmtId="0" fontId="0" fillId="2" borderId="0" xfId="0" applyFont="1" applyFill="1" applyBorder="1" applyAlignment="1">
      <alignment horizontal="left" vertical="center"/>
    </xf>
    <xf numFmtId="0" fontId="0" fillId="2" borderId="0" xfId="0" applyFont="1" applyFill="1" applyAlignment="1">
      <alignment horizontal="left" vertical="center"/>
    </xf>
    <xf numFmtId="14" fontId="0" fillId="8" borderId="0" xfId="0" applyNumberFormat="1" applyFont="1" applyFill="1" applyBorder="1" applyAlignment="1" applyProtection="1">
      <alignment horizontal="center" vertical="center"/>
      <protection locked="0"/>
    </xf>
    <xf numFmtId="0" fontId="0" fillId="0" borderId="0" xfId="0" applyFont="1" applyAlignment="1">
      <alignment horizontal="left" vertical="center"/>
    </xf>
    <xf numFmtId="1" fontId="0" fillId="2" borderId="0" xfId="0" applyNumberFormat="1" applyFont="1" applyFill="1" applyBorder="1" applyAlignment="1">
      <alignment horizontal="center" vertical="center"/>
    </xf>
    <xf numFmtId="0" fontId="36" fillId="2" borderId="0" xfId="0" applyFont="1" applyFill="1"/>
    <xf numFmtId="0" fontId="36" fillId="2" borderId="0" xfId="0" applyFont="1" applyFill="1" applyBorder="1" applyAlignment="1">
      <alignment horizontal="left"/>
    </xf>
    <xf numFmtId="0" fontId="5" fillId="0" borderId="0" xfId="0" applyFont="1"/>
    <xf numFmtId="0" fontId="2" fillId="2" borderId="0" xfId="3" applyFont="1" applyFill="1" applyAlignment="1">
      <alignment vertical="center"/>
    </xf>
    <xf numFmtId="0" fontId="0" fillId="2" borderId="0" xfId="0" applyFill="1" applyBorder="1" applyAlignment="1">
      <alignment horizontal="center"/>
    </xf>
    <xf numFmtId="0" fontId="4" fillId="2" borderId="0" xfId="0" applyFont="1" applyFill="1" applyBorder="1" applyAlignment="1">
      <alignment horizontal="center"/>
    </xf>
    <xf numFmtId="0" fontId="0" fillId="2" borderId="0" xfId="0" applyFont="1" applyFill="1" applyAlignment="1">
      <alignment horizontal="center"/>
    </xf>
    <xf numFmtId="0" fontId="0" fillId="2" borderId="4" xfId="0" applyFont="1" applyFill="1" applyBorder="1" applyAlignment="1">
      <alignment horizontal="left" indent="3"/>
    </xf>
    <xf numFmtId="43" fontId="0" fillId="2" borderId="0" xfId="1" applyFont="1" applyFill="1" applyBorder="1"/>
    <xf numFmtId="0" fontId="8" fillId="2" borderId="6" xfId="0" applyFont="1" applyFill="1" applyBorder="1" applyAlignment="1">
      <alignment horizontal="left" indent="1"/>
    </xf>
    <xf numFmtId="0" fontId="10" fillId="2" borderId="4" xfId="0" applyFont="1" applyFill="1" applyBorder="1" applyAlignment="1">
      <alignment horizontal="left" indent="1"/>
    </xf>
    <xf numFmtId="0" fontId="10" fillId="2" borderId="0" xfId="0" applyFont="1" applyFill="1" applyAlignment="1">
      <alignment horizontal="center"/>
    </xf>
    <xf numFmtId="0" fontId="4" fillId="4" borderId="27" xfId="0" applyFont="1" applyFill="1" applyBorder="1" applyAlignment="1">
      <alignment horizontal="center"/>
    </xf>
    <xf numFmtId="0" fontId="4" fillId="4" borderId="36" xfId="0" applyFont="1" applyFill="1" applyBorder="1" applyAlignment="1">
      <alignment horizontal="center"/>
    </xf>
    <xf numFmtId="5" fontId="4" fillId="5" borderId="52" xfId="0" applyNumberFormat="1" applyFont="1" applyFill="1" applyBorder="1" applyAlignment="1">
      <alignment horizontal="center"/>
    </xf>
    <xf numFmtId="5" fontId="4" fillId="2" borderId="52" xfId="0" applyNumberFormat="1" applyFont="1" applyFill="1" applyBorder="1" applyAlignment="1">
      <alignment horizontal="center"/>
    </xf>
    <xf numFmtId="0" fontId="10" fillId="2" borderId="35" xfId="0" applyFont="1" applyFill="1" applyBorder="1"/>
    <xf numFmtId="6" fontId="10" fillId="2" borderId="52" xfId="2" applyNumberFormat="1" applyFont="1" applyFill="1" applyBorder="1" applyAlignment="1">
      <alignment horizontal="center"/>
    </xf>
    <xf numFmtId="5" fontId="10" fillId="2" borderId="52" xfId="2" applyNumberFormat="1" applyFont="1" applyFill="1" applyBorder="1" applyAlignment="1">
      <alignment horizontal="center"/>
    </xf>
    <xf numFmtId="0" fontId="8" fillId="2" borderId="4" xfId="0" applyFont="1" applyFill="1" applyBorder="1"/>
    <xf numFmtId="9" fontId="8" fillId="2" borderId="35" xfId="0" applyNumberFormat="1" applyFont="1" applyFill="1" applyBorder="1" applyAlignment="1">
      <alignment horizontal="center"/>
    </xf>
    <xf numFmtId="5" fontId="8" fillId="2" borderId="52" xfId="2" applyNumberFormat="1" applyFont="1" applyFill="1" applyBorder="1" applyAlignment="1">
      <alignment horizontal="center"/>
    </xf>
    <xf numFmtId="0" fontId="8" fillId="2" borderId="26" xfId="0" applyFont="1" applyFill="1" applyBorder="1"/>
    <xf numFmtId="9" fontId="8" fillId="2" borderId="27" xfId="0" applyNumberFormat="1" applyFont="1" applyFill="1" applyBorder="1" applyAlignment="1">
      <alignment horizontal="center"/>
    </xf>
    <xf numFmtId="9" fontId="8" fillId="2" borderId="36" xfId="0" applyNumberFormat="1" applyFont="1" applyFill="1" applyBorder="1" applyAlignment="1">
      <alignment horizontal="center"/>
    </xf>
    <xf numFmtId="5" fontId="8" fillId="2" borderId="56" xfId="2" applyNumberFormat="1" applyFont="1" applyFill="1" applyBorder="1" applyAlignment="1">
      <alignment horizontal="center"/>
    </xf>
    <xf numFmtId="0" fontId="10" fillId="2" borderId="4" xfId="0" applyFont="1" applyFill="1" applyBorder="1" applyAlignment="1">
      <alignment horizontal="right"/>
    </xf>
    <xf numFmtId="9" fontId="3" fillId="2" borderId="27" xfId="0" applyNumberFormat="1" applyFont="1" applyFill="1" applyBorder="1" applyAlignment="1">
      <alignment horizontal="center"/>
    </xf>
    <xf numFmtId="9" fontId="3" fillId="2" borderId="36" xfId="0" applyNumberFormat="1" applyFont="1" applyFill="1" applyBorder="1" applyAlignment="1">
      <alignment horizontal="center"/>
    </xf>
    <xf numFmtId="6" fontId="10" fillId="2" borderId="56" xfId="2" applyNumberFormat="1" applyFont="1" applyFill="1" applyBorder="1" applyAlignment="1">
      <alignment horizontal="center"/>
    </xf>
    <xf numFmtId="6" fontId="10" fillId="5" borderId="52" xfId="2" applyNumberFormat="1" applyFont="1" applyFill="1" applyBorder="1" applyAlignment="1">
      <alignment horizontal="center"/>
    </xf>
    <xf numFmtId="6" fontId="10" fillId="5" borderId="30" xfId="2" applyNumberFormat="1" applyFont="1" applyFill="1" applyBorder="1" applyAlignment="1">
      <alignment horizontal="center"/>
    </xf>
    <xf numFmtId="6" fontId="10" fillId="5" borderId="5" xfId="2" applyNumberFormat="1" applyFont="1" applyFill="1" applyBorder="1" applyAlignment="1">
      <alignment horizontal="center"/>
    </xf>
    <xf numFmtId="6" fontId="10" fillId="2" borderId="52" xfId="0" applyNumberFormat="1" applyFont="1" applyFill="1" applyBorder="1" applyAlignment="1">
      <alignment horizontal="center"/>
    </xf>
    <xf numFmtId="5" fontId="10" fillId="2" borderId="52" xfId="0" applyNumberFormat="1" applyFont="1" applyFill="1" applyBorder="1" applyAlignment="1">
      <alignment horizontal="center"/>
    </xf>
    <xf numFmtId="5" fontId="10" fillId="2" borderId="5" xfId="0" applyNumberFormat="1" applyFont="1" applyFill="1" applyBorder="1" applyAlignment="1">
      <alignment horizontal="center"/>
    </xf>
    <xf numFmtId="9" fontId="10" fillId="2" borderId="52" xfId="2" applyFont="1" applyFill="1" applyBorder="1" applyAlignment="1">
      <alignment horizontal="center"/>
    </xf>
    <xf numFmtId="9" fontId="10" fillId="2" borderId="30" xfId="2" applyFont="1" applyFill="1" applyBorder="1" applyAlignment="1">
      <alignment horizontal="center"/>
    </xf>
    <xf numFmtId="9" fontId="0" fillId="2" borderId="29" xfId="2" applyFont="1" applyFill="1" applyBorder="1" applyAlignment="1">
      <alignment horizontal="center"/>
    </xf>
    <xf numFmtId="9" fontId="0" fillId="2" borderId="31" xfId="2" applyFont="1" applyFill="1" applyBorder="1" applyAlignment="1">
      <alignment horizontal="center"/>
    </xf>
    <xf numFmtId="9" fontId="0" fillId="2" borderId="38" xfId="2" applyFont="1" applyFill="1" applyBorder="1" applyAlignment="1">
      <alignment horizontal="center"/>
    </xf>
    <xf numFmtId="167" fontId="10" fillId="2" borderId="30" xfId="2" applyNumberFormat="1" applyFont="1" applyFill="1" applyBorder="1" applyAlignment="1">
      <alignment horizontal="center"/>
    </xf>
    <xf numFmtId="9" fontId="10" fillId="2" borderId="58" xfId="2" applyFont="1" applyFill="1" applyBorder="1" applyAlignment="1">
      <alignment horizontal="center"/>
    </xf>
    <xf numFmtId="0" fontId="5" fillId="2" borderId="0" xfId="0" applyFont="1" applyFill="1" applyBorder="1" applyAlignment="1">
      <alignment horizontal="center"/>
    </xf>
    <xf numFmtId="168" fontId="5" fillId="2" borderId="0" xfId="0" applyNumberFormat="1" applyFont="1" applyFill="1" applyBorder="1" applyAlignment="1">
      <alignment horizontal="center"/>
    </xf>
    <xf numFmtId="8" fontId="5" fillId="2" borderId="0" xfId="0" applyNumberFormat="1" applyFont="1" applyFill="1" applyBorder="1" applyAlignment="1">
      <alignment horizontal="center"/>
    </xf>
    <xf numFmtId="169" fontId="10" fillId="2" borderId="0" xfId="0" applyNumberFormat="1" applyFont="1" applyFill="1" applyBorder="1" applyAlignment="1">
      <alignment horizontal="center"/>
    </xf>
    <xf numFmtId="7" fontId="5" fillId="2" borderId="0" xfId="0" applyNumberFormat="1" applyFont="1" applyFill="1" applyBorder="1" applyAlignment="1">
      <alignment horizontal="center"/>
    </xf>
    <xf numFmtId="5" fontId="4" fillId="8" borderId="8" xfId="0" applyNumberFormat="1" applyFont="1" applyFill="1" applyBorder="1" applyAlignment="1" applyProtection="1">
      <alignment horizontal="center"/>
      <protection locked="0"/>
    </xf>
    <xf numFmtId="0" fontId="4" fillId="4" borderId="6" xfId="0" applyFont="1" applyFill="1" applyBorder="1"/>
    <xf numFmtId="9" fontId="0" fillId="2" borderId="0" xfId="0" applyNumberFormat="1" applyFill="1" applyBorder="1" applyAlignment="1">
      <alignment horizontal="center"/>
    </xf>
    <xf numFmtId="9" fontId="4" fillId="2" borderId="0" xfId="0" applyNumberFormat="1" applyFont="1" applyFill="1" applyBorder="1" applyAlignment="1">
      <alignment horizontal="center"/>
    </xf>
    <xf numFmtId="9" fontId="8" fillId="2" borderId="0" xfId="0" applyNumberFormat="1" applyFont="1" applyFill="1" applyBorder="1" applyAlignment="1">
      <alignment horizontal="center"/>
    </xf>
    <xf numFmtId="6" fontId="10" fillId="2" borderId="0" xfId="0" applyNumberFormat="1" applyFont="1" applyFill="1" applyBorder="1" applyAlignment="1">
      <alignment horizontal="center"/>
    </xf>
    <xf numFmtId="9" fontId="10" fillId="2" borderId="32" xfId="2" applyFont="1" applyFill="1" applyBorder="1" applyAlignment="1">
      <alignment horizontal="center"/>
    </xf>
    <xf numFmtId="5" fontId="0" fillId="2" borderId="0" xfId="0" applyNumberFormat="1" applyFont="1" applyFill="1" applyBorder="1" applyAlignment="1" applyProtection="1">
      <alignment horizontal="center" vertical="top"/>
      <protection locked="0"/>
    </xf>
    <xf numFmtId="9" fontId="4" fillId="2" borderId="0" xfId="0" applyNumberFormat="1" applyFont="1" applyFill="1" applyBorder="1" applyAlignment="1">
      <alignment horizontal="center"/>
    </xf>
    <xf numFmtId="9" fontId="4" fillId="2" borderId="35" xfId="0" applyNumberFormat="1" applyFont="1" applyFill="1" applyBorder="1" applyAlignment="1">
      <alignment horizontal="center"/>
    </xf>
    <xf numFmtId="0" fontId="8" fillId="2" borderId="6" xfId="3" applyFont="1" applyFill="1" applyBorder="1" applyAlignment="1">
      <alignment horizontal="left" indent="1"/>
    </xf>
    <xf numFmtId="0" fontId="10" fillId="2" borderId="7" xfId="3" applyFont="1" applyFill="1" applyBorder="1"/>
    <xf numFmtId="0" fontId="10" fillId="2" borderId="8" xfId="3" applyFont="1" applyFill="1" applyBorder="1"/>
    <xf numFmtId="0" fontId="10" fillId="2" borderId="5" xfId="3" applyFont="1" applyFill="1" applyBorder="1"/>
    <xf numFmtId="0" fontId="10" fillId="2" borderId="4" xfId="3" applyFont="1" applyFill="1" applyBorder="1" applyAlignment="1">
      <alignment horizontal="left" indent="4"/>
    </xf>
    <xf numFmtId="5" fontId="3" fillId="2" borderId="0" xfId="0" applyNumberFormat="1" applyFont="1" applyFill="1" applyAlignment="1">
      <alignment horizontal="center"/>
    </xf>
    <xf numFmtId="0" fontId="0" fillId="5" borderId="7" xfId="0" applyFill="1" applyBorder="1" applyAlignment="1">
      <alignment horizontal="center"/>
    </xf>
    <xf numFmtId="0" fontId="0" fillId="5" borderId="6" xfId="0" applyFill="1" applyBorder="1" applyAlignment="1">
      <alignment horizontal="center"/>
    </xf>
    <xf numFmtId="0" fontId="0" fillId="5" borderId="14" xfId="0" applyFill="1" applyBorder="1" applyAlignment="1">
      <alignment horizontal="center"/>
    </xf>
    <xf numFmtId="0" fontId="0" fillId="2" borderId="4" xfId="0" applyFill="1" applyBorder="1" applyAlignment="1">
      <alignment horizontal="center"/>
    </xf>
    <xf numFmtId="5" fontId="0" fillId="2" borderId="12" xfId="0" applyNumberFormat="1" applyFill="1" applyBorder="1" applyAlignment="1">
      <alignment horizontal="center"/>
    </xf>
    <xf numFmtId="0" fontId="0" fillId="2" borderId="9" xfId="0" applyFill="1" applyBorder="1" applyAlignment="1">
      <alignment horizontal="center"/>
    </xf>
    <xf numFmtId="5" fontId="0" fillId="2" borderId="11" xfId="0" applyNumberFormat="1" applyFill="1" applyBorder="1" applyAlignment="1">
      <alignment horizontal="center"/>
    </xf>
    <xf numFmtId="5" fontId="10" fillId="2" borderId="10" xfId="0" applyNumberFormat="1" applyFont="1" applyFill="1" applyBorder="1" applyAlignment="1">
      <alignment horizontal="center"/>
    </xf>
    <xf numFmtId="5" fontId="0" fillId="2" borderId="13" xfId="0" applyNumberFormat="1" applyFill="1" applyBorder="1" applyAlignment="1">
      <alignment horizontal="center"/>
    </xf>
    <xf numFmtId="0" fontId="0" fillId="5" borderId="8" xfId="0" applyFill="1" applyBorder="1" applyAlignment="1">
      <alignment horizontal="center"/>
    </xf>
    <xf numFmtId="0" fontId="0" fillId="2" borderId="0" xfId="0" applyFill="1" applyBorder="1" applyAlignment="1"/>
    <xf numFmtId="0" fontId="4" fillId="2" borderId="4" xfId="0" applyFont="1" applyFill="1" applyBorder="1" applyAlignment="1">
      <alignment horizontal="center"/>
    </xf>
    <xf numFmtId="9" fontId="0" fillId="2" borderId="35" xfId="0" applyNumberFormat="1" applyFont="1" applyFill="1" applyBorder="1" applyAlignment="1">
      <alignment horizontal="center"/>
    </xf>
    <xf numFmtId="6" fontId="10" fillId="2" borderId="0" xfId="2" applyNumberFormat="1" applyFont="1" applyFill="1" applyBorder="1" applyAlignment="1">
      <alignment horizontal="center"/>
    </xf>
    <xf numFmtId="7" fontId="0" fillId="2" borderId="0" xfId="0" applyNumberFormat="1" applyFill="1" applyBorder="1" applyAlignment="1">
      <alignment horizontal="left"/>
    </xf>
    <xf numFmtId="6" fontId="5" fillId="2" borderId="0" xfId="0" applyNumberFormat="1" applyFont="1" applyFill="1"/>
    <xf numFmtId="9" fontId="8" fillId="5" borderId="60" xfId="2" applyFont="1" applyFill="1" applyBorder="1" applyAlignment="1">
      <alignment horizontal="center"/>
    </xf>
    <xf numFmtId="0" fontId="0" fillId="2" borderId="4" xfId="0" applyFont="1" applyFill="1" applyBorder="1" applyAlignment="1">
      <alignment horizontal="left" indent="1"/>
    </xf>
    <xf numFmtId="0" fontId="0" fillId="0" borderId="0" xfId="0" applyFont="1" applyBorder="1"/>
    <xf numFmtId="0" fontId="0" fillId="2" borderId="4" xfId="0" applyFont="1" applyFill="1" applyBorder="1" applyAlignment="1">
      <alignment horizontal="left" indent="2"/>
    </xf>
    <xf numFmtId="0" fontId="0" fillId="2" borderId="9" xfId="0" applyFont="1" applyFill="1" applyBorder="1" applyAlignment="1">
      <alignment horizontal="left" indent="2"/>
    </xf>
    <xf numFmtId="0" fontId="0" fillId="2" borderId="11" xfId="0" applyFont="1" applyFill="1" applyBorder="1"/>
    <xf numFmtId="9" fontId="0" fillId="2" borderId="47" xfId="2" applyFont="1" applyFill="1" applyBorder="1" applyAlignment="1">
      <alignment horizontal="center"/>
    </xf>
    <xf numFmtId="0" fontId="0" fillId="2" borderId="49" xfId="0" applyFont="1" applyFill="1" applyBorder="1"/>
    <xf numFmtId="9" fontId="0" fillId="2" borderId="49" xfId="0" applyNumberFormat="1" applyFont="1" applyFill="1" applyBorder="1" applyAlignment="1">
      <alignment horizontal="center"/>
    </xf>
    <xf numFmtId="0" fontId="0" fillId="2" borderId="50" xfId="0" applyFont="1" applyFill="1" applyBorder="1" applyAlignment="1">
      <alignment horizontal="center"/>
    </xf>
    <xf numFmtId="0" fontId="0" fillId="2" borderId="0" xfId="0" applyFont="1" applyFill="1" applyBorder="1" applyAlignment="1" applyProtection="1">
      <alignment horizontal="left"/>
      <protection locked="0"/>
    </xf>
    <xf numFmtId="0" fontId="0" fillId="2" borderId="0" xfId="0" applyFont="1" applyFill="1" applyBorder="1" applyAlignment="1" applyProtection="1">
      <alignment horizontal="center"/>
      <protection locked="0"/>
    </xf>
    <xf numFmtId="6" fontId="0" fillId="8" borderId="0" xfId="0" applyNumberFormat="1" applyFont="1" applyFill="1" applyBorder="1" applyAlignment="1" applyProtection="1">
      <alignment horizontal="center"/>
      <protection locked="0"/>
    </xf>
    <xf numFmtId="0" fontId="0" fillId="2" borderId="0" xfId="0" applyFont="1" applyFill="1" applyBorder="1" applyAlignment="1">
      <alignment vertical="top"/>
    </xf>
    <xf numFmtId="0" fontId="0" fillId="8" borderId="0" xfId="0" applyFont="1" applyFill="1" applyBorder="1" applyAlignment="1" applyProtection="1">
      <alignment horizontal="center" vertical="top"/>
      <protection locked="0"/>
    </xf>
    <xf numFmtId="0" fontId="0" fillId="2" borderId="0" xfId="0" applyFont="1" applyFill="1" applyAlignment="1">
      <alignment horizontal="left"/>
    </xf>
    <xf numFmtId="0" fontId="0" fillId="2" borderId="0" xfId="0" applyFont="1" applyFill="1" applyAlignment="1">
      <alignment horizontal="left" vertical="top" wrapText="1" indent="2"/>
    </xf>
    <xf numFmtId="0" fontId="0" fillId="2" borderId="0" xfId="0" applyFont="1" applyFill="1" applyAlignment="1">
      <alignment horizontal="center" vertical="top"/>
    </xf>
    <xf numFmtId="5" fontId="0" fillId="2" borderId="0" xfId="0" applyNumberFormat="1" applyFont="1" applyFill="1" applyAlignment="1">
      <alignment horizontal="center" vertical="top"/>
    </xf>
    <xf numFmtId="0" fontId="36" fillId="2" borderId="0" xfId="0" applyFont="1" applyFill="1" applyBorder="1"/>
    <xf numFmtId="0" fontId="12" fillId="2" borderId="0" xfId="3" applyFont="1" applyFill="1" applyBorder="1" applyAlignment="1"/>
    <xf numFmtId="5" fontId="0" fillId="2" borderId="5" xfId="0" applyNumberFormat="1" applyFont="1" applyFill="1" applyBorder="1" applyAlignment="1" applyProtection="1">
      <alignment horizontal="center"/>
    </xf>
    <xf numFmtId="5" fontId="0" fillId="8" borderId="5" xfId="0" applyNumberFormat="1" applyFont="1" applyFill="1" applyBorder="1" applyAlignment="1" applyProtection="1">
      <alignment horizontal="center"/>
      <protection locked="0"/>
    </xf>
    <xf numFmtId="0" fontId="4" fillId="9" borderId="24" xfId="0" applyFont="1" applyFill="1" applyBorder="1" applyAlignment="1">
      <alignment horizontal="center"/>
    </xf>
    <xf numFmtId="0" fontId="4" fillId="2" borderId="24" xfId="0" applyFont="1" applyFill="1" applyBorder="1" applyAlignment="1">
      <alignment horizontal="center"/>
    </xf>
    <xf numFmtId="0" fontId="0" fillId="0" borderId="4" xfId="0" applyFont="1" applyBorder="1"/>
    <xf numFmtId="0" fontId="22" fillId="9" borderId="0" xfId="0" applyFont="1" applyFill="1" applyBorder="1" applyAlignment="1">
      <alignment horizontal="center" wrapText="1"/>
    </xf>
    <xf numFmtId="0" fontId="22" fillId="2" borderId="0" xfId="0" applyFont="1" applyFill="1" applyBorder="1" applyAlignment="1">
      <alignment horizontal="center"/>
    </xf>
    <xf numFmtId="5" fontId="0" fillId="9" borderId="0" xfId="0" applyNumberFormat="1" applyFont="1" applyFill="1" applyBorder="1" applyAlignment="1">
      <alignment horizontal="center"/>
    </xf>
    <xf numFmtId="5" fontId="0" fillId="2" borderId="5" xfId="0" applyNumberFormat="1" applyFont="1" applyFill="1" applyBorder="1" applyAlignment="1" applyProtection="1">
      <alignment horizontal="center"/>
      <protection locked="0"/>
    </xf>
    <xf numFmtId="7" fontId="0" fillId="2" borderId="0" xfId="0" applyNumberFormat="1" applyFont="1" applyFill="1"/>
    <xf numFmtId="8" fontId="0" fillId="2" borderId="0" xfId="0" applyNumberFormat="1" applyFont="1" applyFill="1" applyAlignment="1">
      <alignment horizontal="center"/>
    </xf>
    <xf numFmtId="0" fontId="0" fillId="8" borderId="4" xfId="0" applyFont="1" applyFill="1" applyBorder="1" applyAlignment="1" applyProtection="1">
      <alignment horizontal="left"/>
      <protection locked="0"/>
    </xf>
    <xf numFmtId="5" fontId="0" fillId="2" borderId="54" xfId="0" applyNumberFormat="1" applyFont="1" applyFill="1" applyBorder="1" applyAlignment="1">
      <alignment horizontal="center"/>
    </xf>
    <xf numFmtId="5" fontId="0" fillId="2" borderId="35" xfId="0" applyNumberFormat="1" applyFont="1" applyFill="1" applyBorder="1" applyAlignment="1">
      <alignment horizontal="center"/>
    </xf>
    <xf numFmtId="5" fontId="0" fillId="2" borderId="52" xfId="0" applyNumberFormat="1" applyFont="1" applyFill="1" applyBorder="1" applyAlignment="1">
      <alignment horizontal="center"/>
    </xf>
    <xf numFmtId="0" fontId="0" fillId="4" borderId="59" xfId="0" applyFont="1" applyFill="1" applyBorder="1" applyAlignment="1">
      <alignment horizontal="center"/>
    </xf>
    <xf numFmtId="0" fontId="0" fillId="4" borderId="33" xfId="0" applyFont="1" applyFill="1" applyBorder="1" applyAlignment="1">
      <alignment horizontal="center"/>
    </xf>
    <xf numFmtId="0" fontId="0" fillId="4" borderId="26" xfId="0" applyFont="1" applyFill="1" applyBorder="1"/>
    <xf numFmtId="0" fontId="0" fillId="4" borderId="56" xfId="0" applyFont="1" applyFill="1" applyBorder="1" applyAlignment="1">
      <alignment horizontal="center"/>
    </xf>
    <xf numFmtId="0" fontId="0" fillId="4" borderId="37" xfId="0" applyFont="1" applyFill="1" applyBorder="1" applyAlignment="1">
      <alignment horizontal="center"/>
    </xf>
    <xf numFmtId="0" fontId="0" fillId="4" borderId="28" xfId="0" applyFont="1" applyFill="1" applyBorder="1" applyAlignment="1">
      <alignment horizontal="center"/>
    </xf>
    <xf numFmtId="5" fontId="0" fillId="2" borderId="30" xfId="0" applyNumberFormat="1" applyFont="1" applyFill="1" applyBorder="1" applyAlignment="1">
      <alignment horizontal="center"/>
    </xf>
    <xf numFmtId="167" fontId="0" fillId="2" borderId="30" xfId="0" applyNumberFormat="1" applyFont="1" applyFill="1" applyBorder="1" applyAlignment="1">
      <alignment horizontal="center"/>
    </xf>
    <xf numFmtId="167" fontId="0" fillId="0" borderId="30" xfId="0" applyNumberFormat="1" applyFont="1" applyBorder="1" applyAlignment="1">
      <alignment horizontal="center"/>
    </xf>
    <xf numFmtId="167" fontId="0" fillId="2" borderId="57" xfId="0" applyNumberFormat="1" applyFont="1" applyFill="1" applyBorder="1" applyAlignment="1">
      <alignment horizontal="center"/>
    </xf>
    <xf numFmtId="0" fontId="0" fillId="2" borderId="35" xfId="0" applyFont="1" applyFill="1" applyBorder="1" applyAlignment="1">
      <alignment horizontal="center"/>
    </xf>
    <xf numFmtId="0" fontId="0" fillId="2" borderId="34" xfId="0" applyFont="1" applyFill="1" applyBorder="1" applyAlignment="1">
      <alignment horizontal="center"/>
    </xf>
    <xf numFmtId="9" fontId="3" fillId="2" borderId="4" xfId="0" applyNumberFormat="1" applyFont="1" applyFill="1" applyBorder="1"/>
    <xf numFmtId="5" fontId="4" fillId="2" borderId="57" xfId="0" applyNumberFormat="1" applyFont="1" applyFill="1" applyBorder="1" applyAlignment="1">
      <alignment horizontal="center"/>
    </xf>
    <xf numFmtId="5" fontId="0" fillId="2" borderId="57" xfId="0" applyNumberFormat="1" applyFont="1" applyFill="1" applyBorder="1" applyAlignment="1">
      <alignment horizontal="center"/>
    </xf>
    <xf numFmtId="167" fontId="0" fillId="0" borderId="57" xfId="0" applyNumberFormat="1" applyFont="1" applyBorder="1" applyAlignment="1">
      <alignment horizontal="center"/>
    </xf>
    <xf numFmtId="5" fontId="10" fillId="2" borderId="57" xfId="2" applyNumberFormat="1" applyFont="1" applyFill="1" applyBorder="1" applyAlignment="1">
      <alignment horizontal="center"/>
    </xf>
    <xf numFmtId="5" fontId="8" fillId="2" borderId="57" xfId="2" applyNumberFormat="1" applyFont="1" applyFill="1" applyBorder="1" applyAlignment="1">
      <alignment horizontal="center"/>
    </xf>
    <xf numFmtId="5" fontId="8" fillId="2" borderId="61" xfId="2" applyNumberFormat="1" applyFont="1" applyFill="1" applyBorder="1" applyAlignment="1">
      <alignment horizontal="center"/>
    </xf>
    <xf numFmtId="6" fontId="10" fillId="2" borderId="57" xfId="2" applyNumberFormat="1" applyFont="1" applyFill="1" applyBorder="1" applyAlignment="1">
      <alignment horizontal="center"/>
    </xf>
    <xf numFmtId="6" fontId="10" fillId="2" borderId="61" xfId="2" applyNumberFormat="1" applyFont="1" applyFill="1" applyBorder="1" applyAlignment="1">
      <alignment horizontal="center"/>
    </xf>
    <xf numFmtId="9" fontId="10" fillId="2" borderId="57" xfId="2" applyFont="1" applyFill="1" applyBorder="1" applyAlignment="1">
      <alignment horizontal="center"/>
    </xf>
    <xf numFmtId="0" fontId="0" fillId="2" borderId="7" xfId="0" applyFill="1" applyBorder="1" applyAlignment="1">
      <alignment horizontal="center"/>
    </xf>
    <xf numFmtId="0" fontId="38" fillId="2" borderId="0" xfId="0"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xf>
    <xf numFmtId="5" fontId="0" fillId="8" borderId="5" xfId="0" applyNumberFormat="1" applyFont="1" applyFill="1" applyBorder="1" applyAlignment="1" applyProtection="1">
      <alignment horizontal="center" vertical="center"/>
      <protection locked="0"/>
    </xf>
    <xf numFmtId="0" fontId="3" fillId="2" borderId="0" xfId="0" applyFont="1" applyFill="1" applyAlignment="1">
      <alignment horizontal="center"/>
    </xf>
    <xf numFmtId="0" fontId="0" fillId="5" borderId="14" xfId="0" applyFont="1" applyFill="1" applyBorder="1" applyAlignment="1">
      <alignment horizontal="center"/>
    </xf>
    <xf numFmtId="0" fontId="40" fillId="2" borderId="0" xfId="0" applyFont="1" applyFill="1"/>
    <xf numFmtId="0" fontId="40" fillId="2" borderId="0" xfId="0" applyFont="1" applyFill="1" applyBorder="1"/>
    <xf numFmtId="0" fontId="40" fillId="2" borderId="0" xfId="0" applyFont="1" applyFill="1" applyBorder="1" applyAlignment="1">
      <alignment horizontal="center"/>
    </xf>
    <xf numFmtId="8" fontId="5" fillId="2" borderId="0" xfId="0" applyNumberFormat="1" applyFont="1" applyFill="1"/>
    <xf numFmtId="0" fontId="4" fillId="5" borderId="14" xfId="0" applyFont="1" applyFill="1" applyBorder="1" applyAlignment="1">
      <alignment horizontal="center"/>
    </xf>
    <xf numFmtId="43" fontId="5" fillId="2" borderId="0" xfId="1" applyFont="1" applyFill="1"/>
    <xf numFmtId="0" fontId="36" fillId="2" borderId="0" xfId="0" applyFont="1" applyFill="1" applyBorder="1" applyAlignment="1">
      <alignment horizontal="left" indent="2"/>
    </xf>
    <xf numFmtId="0" fontId="4" fillId="2" borderId="0" xfId="0" applyFont="1" applyFill="1" applyBorder="1" applyAlignment="1">
      <alignment horizontal="center"/>
    </xf>
    <xf numFmtId="0" fontId="7" fillId="2" borderId="4" xfId="0" applyFont="1" applyFill="1" applyBorder="1" applyAlignment="1">
      <alignment horizontal="left" indent="1"/>
    </xf>
    <xf numFmtId="0" fontId="0" fillId="2" borderId="0" xfId="0" applyFont="1" applyFill="1" applyBorder="1" applyAlignment="1">
      <alignment horizontal="center"/>
    </xf>
    <xf numFmtId="0" fontId="5" fillId="2" borderId="0" xfId="0" applyFont="1" applyFill="1" applyAlignment="1">
      <alignment horizontal="center"/>
    </xf>
    <xf numFmtId="0" fontId="0" fillId="2" borderId="0" xfId="0" applyFont="1" applyFill="1" applyBorder="1" applyAlignment="1">
      <alignment horizontal="center"/>
    </xf>
    <xf numFmtId="0" fontId="4" fillId="5" borderId="8" xfId="0" applyFont="1" applyFill="1" applyBorder="1" applyAlignment="1">
      <alignment horizontal="center" vertical="top"/>
    </xf>
    <xf numFmtId="0" fontId="10" fillId="2" borderId="40" xfId="3" applyFont="1" applyFill="1" applyBorder="1" applyAlignment="1"/>
    <xf numFmtId="0" fontId="0" fillId="2" borderId="65" xfId="0" applyFont="1" applyFill="1" applyBorder="1"/>
    <xf numFmtId="164" fontId="8" fillId="2" borderId="66" xfId="5" applyNumberFormat="1" applyFont="1" applyFill="1" applyBorder="1" applyAlignment="1" applyProtection="1">
      <alignment horizontal="center"/>
    </xf>
    <xf numFmtId="5" fontId="0" fillId="2" borderId="67" xfId="0" applyNumberFormat="1" applyFont="1" applyFill="1" applyBorder="1" applyAlignment="1">
      <alignment horizontal="center"/>
    </xf>
    <xf numFmtId="9" fontId="26" fillId="5" borderId="5" xfId="2" applyFont="1" applyFill="1" applyBorder="1" applyAlignment="1">
      <alignment horizontal="center"/>
    </xf>
    <xf numFmtId="0" fontId="4" fillId="14" borderId="6" xfId="0" applyFont="1" applyFill="1" applyBorder="1" applyAlignment="1">
      <alignment horizontal="left"/>
    </xf>
    <xf numFmtId="0" fontId="4" fillId="14" borderId="7" xfId="0" applyFont="1" applyFill="1" applyBorder="1" applyAlignment="1">
      <alignment horizontal="center"/>
    </xf>
    <xf numFmtId="0" fontId="4" fillId="14" borderId="8" xfId="0" applyFont="1" applyFill="1" applyBorder="1" applyAlignment="1">
      <alignment horizontal="center"/>
    </xf>
    <xf numFmtId="0" fontId="10" fillId="5" borderId="4" xfId="0" applyFont="1" applyFill="1" applyBorder="1" applyAlignment="1">
      <alignment horizontal="left"/>
    </xf>
    <xf numFmtId="0" fontId="41" fillId="2" borderId="6" xfId="0" applyFont="1" applyFill="1" applyBorder="1" applyAlignment="1">
      <alignment horizontal="left"/>
    </xf>
    <xf numFmtId="0" fontId="0" fillId="11" borderId="4" xfId="0" applyFont="1" applyFill="1" applyBorder="1" applyAlignment="1">
      <alignment horizontal="left"/>
    </xf>
    <xf numFmtId="3" fontId="8" fillId="2" borderId="0" xfId="0" applyNumberFormat="1" applyFont="1" applyFill="1" applyAlignment="1">
      <alignment horizontal="center"/>
    </xf>
    <xf numFmtId="0" fontId="8" fillId="2" borderId="0" xfId="3" applyFont="1" applyFill="1" applyBorder="1" applyAlignment="1">
      <alignment horizontal="left" indent="1"/>
    </xf>
    <xf numFmtId="9" fontId="8" fillId="2" borderId="0" xfId="5" applyFont="1" applyFill="1" applyBorder="1" applyAlignment="1" applyProtection="1">
      <alignment horizontal="center"/>
    </xf>
    <xf numFmtId="5" fontId="8" fillId="2" borderId="0" xfId="1" applyNumberFormat="1" applyFont="1" applyFill="1" applyBorder="1" applyAlignment="1" applyProtection="1">
      <alignment horizontal="center"/>
    </xf>
    <xf numFmtId="0" fontId="10" fillId="2" borderId="9" xfId="3" applyFont="1" applyFill="1" applyBorder="1" applyAlignment="1">
      <alignment horizontal="left" indent="1"/>
    </xf>
    <xf numFmtId="0" fontId="8" fillId="2" borderId="4" xfId="3" applyFont="1" applyFill="1" applyBorder="1" applyAlignment="1">
      <alignment horizontal="left" indent="1"/>
    </xf>
    <xf numFmtId="9" fontId="0" fillId="8" borderId="10" xfId="0" applyNumberFormat="1" applyFont="1" applyFill="1" applyBorder="1" applyAlignment="1" applyProtection="1">
      <alignment horizontal="center"/>
      <protection locked="0"/>
    </xf>
    <xf numFmtId="5" fontId="4" fillId="2" borderId="10" xfId="0" applyNumberFormat="1" applyFont="1" applyFill="1" applyBorder="1" applyAlignment="1">
      <alignment horizontal="center"/>
    </xf>
    <xf numFmtId="0" fontId="31" fillId="2" borderId="4" xfId="0" applyFont="1" applyFill="1" applyBorder="1"/>
    <xf numFmtId="0" fontId="4" fillId="2" borderId="68" xfId="0" applyFont="1" applyFill="1" applyBorder="1"/>
    <xf numFmtId="0" fontId="4" fillId="2" borderId="69" xfId="0" applyFont="1" applyFill="1" applyBorder="1"/>
    <xf numFmtId="9" fontId="4" fillId="2" borderId="69" xfId="0" applyNumberFormat="1" applyFont="1" applyFill="1" applyBorder="1" applyAlignment="1">
      <alignment horizontal="center"/>
    </xf>
    <xf numFmtId="0" fontId="4" fillId="2" borderId="69" xfId="0" applyFont="1" applyFill="1" applyBorder="1" applyAlignment="1">
      <alignment horizontal="center"/>
    </xf>
    <xf numFmtId="167" fontId="4" fillId="2" borderId="69" xfId="0" applyNumberFormat="1" applyFont="1" applyFill="1" applyBorder="1" applyAlignment="1">
      <alignment horizontal="center"/>
    </xf>
    <xf numFmtId="167" fontId="4" fillId="2" borderId="70" xfId="0" applyNumberFormat="1" applyFont="1" applyFill="1" applyBorder="1" applyAlignment="1">
      <alignment horizontal="center"/>
    </xf>
    <xf numFmtId="0" fontId="10" fillId="2" borderId="41" xfId="3" applyFont="1" applyFill="1" applyBorder="1" applyAlignment="1">
      <alignment horizontal="center"/>
    </xf>
    <xf numFmtId="0" fontId="27" fillId="2" borderId="6" xfId="0" applyFont="1" applyFill="1" applyBorder="1" applyAlignment="1">
      <alignment horizontal="left" vertical="center"/>
    </xf>
    <xf numFmtId="0" fontId="4" fillId="2" borderId="7" xfId="0" applyFont="1" applyFill="1" applyBorder="1" applyAlignment="1">
      <alignment horizontal="center" vertical="center"/>
    </xf>
    <xf numFmtId="0" fontId="2" fillId="2" borderId="0" xfId="0" applyFont="1" applyFill="1"/>
    <xf numFmtId="2" fontId="27" fillId="2" borderId="0" xfId="0" applyNumberFormat="1" applyFont="1" applyFill="1" applyBorder="1" applyAlignment="1">
      <alignment horizontal="center"/>
    </xf>
    <xf numFmtId="0" fontId="42" fillId="2" borderId="0" xfId="0" applyFont="1" applyFill="1" applyBorder="1"/>
    <xf numFmtId="0" fontId="36" fillId="0" borderId="0" xfId="0" applyFont="1" applyFill="1" applyBorder="1"/>
    <xf numFmtId="0" fontId="13" fillId="2" borderId="0" xfId="0" applyFont="1" applyFill="1" applyBorder="1"/>
    <xf numFmtId="164" fontId="0" fillId="2" borderId="0" xfId="5" applyNumberFormat="1" applyFont="1" applyFill="1" applyBorder="1" applyAlignment="1" applyProtection="1">
      <alignment horizontal="center"/>
    </xf>
    <xf numFmtId="0" fontId="2" fillId="2" borderId="0" xfId="0" applyFont="1" applyFill="1" applyBorder="1" applyAlignment="1"/>
    <xf numFmtId="0" fontId="2" fillId="2" borderId="0" xfId="0" applyFont="1" applyFill="1" applyBorder="1"/>
    <xf numFmtId="6" fontId="0" fillId="8" borderId="0" xfId="0" applyNumberFormat="1" applyFill="1" applyAlignment="1" applyProtection="1">
      <alignment horizontal="center"/>
      <protection locked="0"/>
    </xf>
    <xf numFmtId="0" fontId="0" fillId="8" borderId="0" xfId="0" applyFill="1" applyAlignment="1" applyProtection="1">
      <alignment horizontal="center"/>
      <protection locked="0"/>
    </xf>
    <xf numFmtId="6" fontId="10" fillId="8" borderId="0" xfId="0" applyNumberFormat="1" applyFont="1" applyFill="1" applyAlignment="1" applyProtection="1">
      <alignment horizontal="center"/>
      <protection locked="0"/>
    </xf>
    <xf numFmtId="9" fontId="0" fillId="8" borderId="0" xfId="0" applyNumberFormat="1" applyFill="1" applyAlignment="1" applyProtection="1">
      <alignment horizontal="center"/>
      <protection locked="0"/>
    </xf>
    <xf numFmtId="0" fontId="7" fillId="8" borderId="0" xfId="0" applyFont="1" applyFill="1" applyAlignment="1" applyProtection="1">
      <alignment horizontal="left"/>
      <protection locked="0"/>
    </xf>
    <xf numFmtId="0" fontId="0" fillId="8" borderId="0" xfId="0" applyFill="1" applyBorder="1" applyProtection="1">
      <protection locked="0"/>
    </xf>
    <xf numFmtId="0" fontId="0" fillId="8" borderId="5" xfId="0" applyFill="1" applyBorder="1" applyProtection="1">
      <protection locked="0"/>
    </xf>
    <xf numFmtId="0" fontId="0" fillId="8" borderId="4" xfId="0" applyFill="1" applyBorder="1" applyProtection="1">
      <protection locked="0"/>
    </xf>
    <xf numFmtId="0" fontId="0" fillId="8" borderId="9" xfId="0" applyFill="1" applyBorder="1" applyProtection="1">
      <protection locked="0"/>
    </xf>
    <xf numFmtId="0" fontId="0" fillId="8" borderId="10" xfId="0" applyFill="1" applyBorder="1" applyProtection="1">
      <protection locked="0"/>
    </xf>
    <xf numFmtId="0" fontId="0" fillId="8" borderId="11" xfId="0" applyFill="1" applyBorder="1" applyProtection="1">
      <protection locked="0"/>
    </xf>
    <xf numFmtId="0" fontId="7" fillId="8" borderId="5" xfId="0" applyFont="1" applyFill="1" applyBorder="1" applyAlignment="1" applyProtection="1">
      <alignment horizontal="center"/>
      <protection locked="0"/>
    </xf>
    <xf numFmtId="5" fontId="0" fillId="2" borderId="12" xfId="0" applyNumberFormat="1" applyFont="1" applyFill="1" applyBorder="1" applyAlignment="1">
      <alignment horizontal="center"/>
    </xf>
    <xf numFmtId="0" fontId="5" fillId="2" borderId="0" xfId="0" applyFont="1" applyFill="1" applyAlignment="1">
      <alignment horizontal="center"/>
    </xf>
    <xf numFmtId="0" fontId="4" fillId="2" borderId="0" xfId="0" applyFont="1"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10" fillId="0" borderId="71" xfId="0" applyFont="1" applyBorder="1"/>
    <xf numFmtId="0" fontId="0" fillId="2" borderId="73" xfId="0" applyFont="1" applyFill="1" applyBorder="1"/>
    <xf numFmtId="0" fontId="0" fillId="4" borderId="74" xfId="0" applyFont="1" applyFill="1" applyBorder="1" applyAlignment="1">
      <alignment horizontal="center"/>
    </xf>
    <xf numFmtId="0" fontId="43" fillId="2" borderId="4" xfId="0" applyFont="1" applyFill="1" applyBorder="1"/>
    <xf numFmtId="0" fontId="43" fillId="2" borderId="0" xfId="0" applyFont="1" applyFill="1"/>
    <xf numFmtId="0" fontId="43" fillId="0" borderId="72" xfId="0" applyFont="1" applyBorder="1"/>
    <xf numFmtId="0" fontId="43" fillId="0" borderId="4" xfId="0" applyFont="1" applyBorder="1"/>
    <xf numFmtId="167" fontId="10" fillId="2" borderId="57" xfId="2" applyNumberFormat="1" applyFont="1" applyFill="1" applyBorder="1" applyAlignment="1">
      <alignment horizontal="center"/>
    </xf>
    <xf numFmtId="0" fontId="10" fillId="8" borderId="0" xfId="0" applyFont="1" applyFill="1" applyAlignment="1" applyProtection="1">
      <alignment horizontal="center"/>
      <protection locked="0"/>
    </xf>
    <xf numFmtId="5" fontId="0" fillId="8" borderId="12" xfId="0" applyNumberFormat="1" applyFill="1" applyBorder="1" applyAlignment="1" applyProtection="1">
      <alignment horizontal="center"/>
      <protection locked="0"/>
    </xf>
    <xf numFmtId="5" fontId="0" fillId="8" borderId="13" xfId="0" applyNumberFormat="1" applyFill="1" applyBorder="1" applyAlignment="1" applyProtection="1">
      <alignment horizontal="center"/>
      <protection locked="0"/>
    </xf>
    <xf numFmtId="5" fontId="0" fillId="8" borderId="4" xfId="0" applyNumberFormat="1" applyFill="1" applyBorder="1" applyAlignment="1" applyProtection="1">
      <alignment horizontal="center"/>
      <protection locked="0"/>
    </xf>
    <xf numFmtId="9" fontId="0" fillId="8" borderId="4" xfId="0" applyNumberFormat="1" applyFill="1" applyBorder="1" applyAlignment="1" applyProtection="1">
      <alignment horizontal="center"/>
      <protection locked="0"/>
    </xf>
    <xf numFmtId="5" fontId="0" fillId="8" borderId="9" xfId="0" applyNumberFormat="1" applyFill="1" applyBorder="1" applyAlignment="1" applyProtection="1">
      <alignment horizontal="center"/>
      <protection locked="0"/>
    </xf>
    <xf numFmtId="9" fontId="0" fillId="8" borderId="9" xfId="0" applyNumberFormat="1" applyFill="1" applyBorder="1" applyAlignment="1" applyProtection="1">
      <alignment horizontal="center"/>
      <protection locked="0"/>
    </xf>
    <xf numFmtId="5" fontId="0" fillId="8" borderId="0" xfId="0" applyNumberFormat="1" applyFill="1" applyAlignment="1" applyProtection="1">
      <alignment horizontal="center"/>
      <protection locked="0"/>
    </xf>
    <xf numFmtId="5" fontId="0" fillId="8" borderId="10" xfId="0" applyNumberFormat="1" applyFill="1" applyBorder="1" applyAlignment="1" applyProtection="1">
      <alignment horizontal="center"/>
      <protection locked="0"/>
    </xf>
    <xf numFmtId="5" fontId="0" fillId="8" borderId="8" xfId="0" applyNumberFormat="1" applyFill="1" applyBorder="1" applyAlignment="1" applyProtection="1">
      <alignment horizontal="center"/>
      <protection locked="0"/>
    </xf>
    <xf numFmtId="9" fontId="0" fillId="8" borderId="5" xfId="0" applyNumberFormat="1" applyFill="1" applyBorder="1" applyAlignment="1" applyProtection="1">
      <alignment horizontal="center"/>
      <protection locked="0"/>
    </xf>
    <xf numFmtId="0" fontId="8" fillId="5" borderId="6" xfId="3" applyFont="1" applyFill="1" applyBorder="1" applyAlignment="1">
      <alignment horizontal="left"/>
    </xf>
    <xf numFmtId="0" fontId="8" fillId="5" borderId="7" xfId="3" applyFont="1" applyFill="1" applyBorder="1" applyAlignment="1">
      <alignment horizontal="center"/>
    </xf>
    <xf numFmtId="0" fontId="8" fillId="5" borderId="8" xfId="3" applyFont="1" applyFill="1" applyBorder="1" applyAlignment="1">
      <alignment horizontal="center"/>
    </xf>
    <xf numFmtId="0" fontId="0" fillId="8" borderId="0" xfId="0" applyNumberFormat="1" applyFont="1" applyFill="1" applyBorder="1" applyAlignment="1" applyProtection="1">
      <alignment horizontal="center"/>
      <protection locked="0"/>
    </xf>
    <xf numFmtId="0" fontId="0" fillId="8" borderId="10" xfId="0" applyNumberFormat="1" applyFont="1" applyFill="1" applyBorder="1" applyAlignment="1" applyProtection="1">
      <alignment horizontal="center"/>
      <protection locked="0"/>
    </xf>
    <xf numFmtId="5" fontId="4" fillId="0" borderId="52" xfId="0" applyNumberFormat="1" applyFont="1" applyFill="1" applyBorder="1" applyAlignment="1">
      <alignment horizontal="center"/>
    </xf>
    <xf numFmtId="0" fontId="4" fillId="0" borderId="0" xfId="0" applyFont="1" applyAlignment="1">
      <alignment horizontal="center"/>
    </xf>
    <xf numFmtId="6" fontId="0" fillId="2" borderId="0" xfId="0" applyNumberFormat="1" applyFill="1" applyBorder="1" applyAlignment="1">
      <alignment horizontal="center"/>
    </xf>
    <xf numFmtId="6" fontId="4" fillId="2" borderId="11" xfId="0" applyNumberFormat="1" applyFont="1" applyFill="1" applyBorder="1" applyAlignment="1">
      <alignment horizontal="center"/>
    </xf>
    <xf numFmtId="6" fontId="0" fillId="2" borderId="10" xfId="0" applyNumberFormat="1" applyFill="1" applyBorder="1" applyAlignment="1">
      <alignment horizontal="center"/>
    </xf>
    <xf numFmtId="0" fontId="4" fillId="2" borderId="62" xfId="0" applyFont="1" applyFill="1" applyBorder="1"/>
    <xf numFmtId="0" fontId="4" fillId="2" borderId="63" xfId="0" applyFont="1" applyFill="1" applyBorder="1"/>
    <xf numFmtId="6" fontId="4" fillId="2" borderId="64" xfId="0" applyNumberFormat="1" applyFont="1" applyFill="1" applyBorder="1" applyAlignment="1">
      <alignment horizontal="center"/>
    </xf>
    <xf numFmtId="0" fontId="0" fillId="2" borderId="40" xfId="0" applyFill="1" applyBorder="1"/>
    <xf numFmtId="0" fontId="0" fillId="2" borderId="41" xfId="0" applyFill="1" applyBorder="1" applyAlignment="1">
      <alignment horizontal="center"/>
    </xf>
    <xf numFmtId="0" fontId="4" fillId="2" borderId="40" xfId="0" applyFont="1" applyFill="1" applyBorder="1"/>
    <xf numFmtId="6" fontId="4" fillId="2" borderId="41" xfId="0" applyNumberFormat="1" applyFont="1" applyFill="1" applyBorder="1" applyAlignment="1">
      <alignment horizontal="center"/>
    </xf>
    <xf numFmtId="0" fontId="4" fillId="2" borderId="65" xfId="0" applyFont="1" applyFill="1" applyBorder="1"/>
    <xf numFmtId="0" fontId="4" fillId="2" borderId="66" xfId="0" applyFont="1" applyFill="1" applyBorder="1"/>
    <xf numFmtId="6" fontId="4" fillId="2" borderId="67" xfId="0" applyNumberFormat="1" applyFont="1" applyFill="1" applyBorder="1" applyAlignment="1">
      <alignment horizontal="center"/>
    </xf>
    <xf numFmtId="0" fontId="4" fillId="5" borderId="1" xfId="0" applyFont="1" applyFill="1" applyBorder="1" applyAlignment="1">
      <alignment horizontal="left"/>
    </xf>
    <xf numFmtId="0" fontId="4" fillId="5" borderId="2" xfId="0" applyFont="1" applyFill="1" applyBorder="1" applyAlignment="1">
      <alignment horizontal="left"/>
    </xf>
    <xf numFmtId="0" fontId="4" fillId="5" borderId="3" xfId="0" applyFont="1" applyFill="1" applyBorder="1" applyAlignment="1">
      <alignment horizontal="left"/>
    </xf>
    <xf numFmtId="0" fontId="10" fillId="2" borderId="9" xfId="0" applyFont="1" applyFill="1" applyBorder="1" applyAlignment="1">
      <alignment horizontal="left" indent="2"/>
    </xf>
    <xf numFmtId="6" fontId="0" fillId="2" borderId="0" xfId="0" applyNumberFormat="1" applyFont="1" applyFill="1" applyBorder="1" applyAlignment="1">
      <alignment horizontal="center"/>
    </xf>
    <xf numFmtId="0" fontId="22" fillId="2" borderId="0" xfId="0" applyFont="1" applyFill="1" applyBorder="1"/>
    <xf numFmtId="6" fontId="10" fillId="2" borderId="0" xfId="0" applyNumberFormat="1" applyFont="1" applyFill="1" applyBorder="1" applyAlignment="1">
      <alignment horizontal="center" vertical="top"/>
    </xf>
    <xf numFmtId="0" fontId="0" fillId="4" borderId="61" xfId="0" applyFont="1" applyFill="1" applyBorder="1" applyAlignment="1">
      <alignment horizontal="center"/>
    </xf>
    <xf numFmtId="0" fontId="8" fillId="2" borderId="9" xfId="3" applyFont="1" applyFill="1" applyBorder="1" applyAlignment="1">
      <alignment horizontal="left" indent="1"/>
    </xf>
    <xf numFmtId="9" fontId="0" fillId="8" borderId="0" xfId="2" applyFont="1" applyFill="1" applyBorder="1" applyAlignment="1" applyProtection="1">
      <alignment horizontal="center"/>
      <protection locked="0"/>
    </xf>
    <xf numFmtId="6" fontId="10" fillId="2" borderId="0" xfId="0" applyNumberFormat="1" applyFont="1" applyFill="1" applyAlignment="1" applyProtection="1">
      <alignment horizontal="center"/>
    </xf>
    <xf numFmtId="0" fontId="0" fillId="2" borderId="0" xfId="0" applyFont="1" applyFill="1" applyProtection="1"/>
    <xf numFmtId="0" fontId="5" fillId="2" borderId="0" xfId="0" applyFont="1" applyFill="1" applyProtection="1"/>
    <xf numFmtId="0" fontId="0" fillId="0" borderId="0" xfId="0" applyFont="1" applyProtection="1"/>
    <xf numFmtId="0" fontId="2" fillId="2" borderId="0" xfId="0" applyFont="1" applyFill="1" applyBorder="1" applyAlignment="1" applyProtection="1">
      <alignment horizontal="center" vertical="center"/>
    </xf>
    <xf numFmtId="0" fontId="5" fillId="2" borderId="0" xfId="0" applyFont="1" applyFill="1" applyBorder="1" applyProtection="1"/>
    <xf numFmtId="0" fontId="8" fillId="2" borderId="6" xfId="0" applyFont="1" applyFill="1" applyBorder="1" applyAlignment="1" applyProtection="1">
      <alignment horizontal="left" vertical="center" indent="1"/>
    </xf>
    <xf numFmtId="0" fontId="8" fillId="2" borderId="7"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5" fillId="2" borderId="7" xfId="0" applyFont="1" applyFill="1" applyBorder="1" applyProtection="1"/>
    <xf numFmtId="0" fontId="5" fillId="2" borderId="8" xfId="0" applyFont="1" applyFill="1" applyBorder="1" applyProtection="1"/>
    <xf numFmtId="0" fontId="0" fillId="2" borderId="0" xfId="0" applyFont="1" applyFill="1" applyAlignment="1" applyProtection="1">
      <alignment vertical="top"/>
    </xf>
    <xf numFmtId="0" fontId="10" fillId="2" borderId="4" xfId="0" applyFont="1" applyFill="1" applyBorder="1" applyAlignment="1" applyProtection="1">
      <alignment horizontal="left" vertical="top" indent="2"/>
    </xf>
    <xf numFmtId="0" fontId="8" fillId="2" borderId="0"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5" fillId="2" borderId="0" xfId="0" applyFont="1" applyFill="1" applyBorder="1" applyAlignment="1" applyProtection="1">
      <alignment vertical="top"/>
    </xf>
    <xf numFmtId="0" fontId="5" fillId="2" borderId="5" xfId="0" applyFont="1" applyFill="1" applyBorder="1" applyAlignment="1" applyProtection="1">
      <alignment vertical="top"/>
    </xf>
    <xf numFmtId="0" fontId="5" fillId="2" borderId="0" xfId="0" applyFont="1" applyFill="1" applyAlignment="1" applyProtection="1">
      <alignment vertical="top"/>
    </xf>
    <xf numFmtId="0" fontId="0" fillId="0" borderId="0" xfId="0" applyFont="1" applyAlignment="1" applyProtection="1">
      <alignment vertical="top"/>
    </xf>
    <xf numFmtId="0" fontId="8" fillId="2" borderId="9" xfId="0" applyFont="1" applyFill="1" applyBorder="1" applyAlignment="1" applyProtection="1">
      <alignment horizontal="left" vertical="top" indent="2"/>
    </xf>
    <xf numFmtId="0" fontId="8" fillId="2" borderId="10" xfId="0" applyFont="1" applyFill="1" applyBorder="1" applyAlignment="1" applyProtection="1">
      <alignment horizontal="center" vertical="top"/>
    </xf>
    <xf numFmtId="0" fontId="2" fillId="2" borderId="10" xfId="0" applyFont="1" applyFill="1" applyBorder="1" applyAlignment="1" applyProtection="1">
      <alignment horizontal="center" vertical="top"/>
    </xf>
    <xf numFmtId="0" fontId="5" fillId="2" borderId="10" xfId="0" applyFont="1" applyFill="1" applyBorder="1" applyAlignment="1" applyProtection="1">
      <alignment vertical="top"/>
    </xf>
    <xf numFmtId="0" fontId="5" fillId="2" borderId="11" xfId="0" applyFont="1" applyFill="1" applyBorder="1" applyAlignment="1" applyProtection="1">
      <alignment vertical="top"/>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0" fillId="2" borderId="0" xfId="0" applyFont="1" applyFill="1" applyBorder="1" applyProtection="1"/>
    <xf numFmtId="0" fontId="34" fillId="2" borderId="0" xfId="0" applyFont="1" applyFill="1" applyAlignment="1" applyProtection="1">
      <alignment horizontal="left"/>
    </xf>
    <xf numFmtId="0" fontId="30" fillId="2" borderId="0" xfId="0" applyFont="1" applyFill="1" applyBorder="1" applyAlignment="1" applyProtection="1">
      <alignment horizontal="left" vertical="center"/>
    </xf>
    <xf numFmtId="0" fontId="0" fillId="2" borderId="0" xfId="0" applyFont="1" applyFill="1" applyBorder="1" applyAlignment="1" applyProtection="1">
      <alignment horizontal="center"/>
    </xf>
    <xf numFmtId="0" fontId="0" fillId="2" borderId="0" xfId="0" applyFont="1" applyFill="1" applyAlignment="1" applyProtection="1">
      <alignment horizontal="center"/>
    </xf>
    <xf numFmtId="0" fontId="0" fillId="5" borderId="14" xfId="0" applyFont="1" applyFill="1" applyBorder="1" applyAlignment="1" applyProtection="1">
      <alignment horizontal="center" wrapText="1"/>
    </xf>
    <xf numFmtId="0" fontId="0" fillId="5" borderId="4" xfId="0" applyFont="1" applyFill="1" applyBorder="1" applyAlignment="1" applyProtection="1">
      <alignment horizontal="center"/>
    </xf>
    <xf numFmtId="0" fontId="0" fillId="5" borderId="5" xfId="0" applyFont="1" applyFill="1" applyBorder="1" applyAlignment="1" applyProtection="1">
      <alignment horizontal="center"/>
    </xf>
    <xf numFmtId="0" fontId="0" fillId="5" borderId="9" xfId="0" applyFont="1" applyFill="1" applyBorder="1" applyAlignment="1" applyProtection="1">
      <alignment horizontal="center"/>
    </xf>
    <xf numFmtId="0" fontId="0" fillId="5" borderId="10" xfId="0" applyFont="1" applyFill="1" applyBorder="1" applyAlignment="1" applyProtection="1">
      <alignment horizontal="center"/>
    </xf>
    <xf numFmtId="0" fontId="0" fillId="5" borderId="11" xfId="0" applyFont="1" applyFill="1" applyBorder="1" applyAlignment="1" applyProtection="1">
      <alignment horizontal="center"/>
    </xf>
    <xf numFmtId="0" fontId="0" fillId="2" borderId="6" xfId="0" applyFont="1" applyFill="1" applyBorder="1" applyAlignment="1" applyProtection="1">
      <alignment horizontal="center"/>
    </xf>
    <xf numFmtId="0" fontId="0" fillId="2" borderId="8" xfId="0" applyFont="1" applyFill="1" applyBorder="1" applyAlignment="1" applyProtection="1">
      <alignment horizontal="center"/>
    </xf>
    <xf numFmtId="5" fontId="0" fillId="2" borderId="0" xfId="0" applyNumberFormat="1" applyFont="1" applyFill="1" applyBorder="1" applyAlignment="1" applyProtection="1">
      <alignment horizontal="center"/>
    </xf>
    <xf numFmtId="0" fontId="0" fillId="2" borderId="4" xfId="0" applyFont="1" applyFill="1" applyBorder="1" applyAlignment="1" applyProtection="1">
      <alignment horizontal="center"/>
    </xf>
    <xf numFmtId="0" fontId="0" fillId="2" borderId="5" xfId="0" applyFont="1" applyFill="1" applyBorder="1" applyAlignment="1" applyProtection="1">
      <alignment horizontal="center"/>
    </xf>
    <xf numFmtId="0" fontId="0" fillId="2" borderId="9" xfId="0" applyFont="1" applyFill="1" applyBorder="1" applyAlignment="1" applyProtection="1">
      <alignment horizontal="center"/>
    </xf>
    <xf numFmtId="0" fontId="0" fillId="2" borderId="11" xfId="0" applyFont="1" applyFill="1" applyBorder="1" applyAlignment="1" applyProtection="1">
      <alignment horizontal="center"/>
    </xf>
    <xf numFmtId="5" fontId="0" fillId="2" borderId="11" xfId="0" applyNumberFormat="1" applyFont="1" applyFill="1" applyBorder="1" applyAlignment="1" applyProtection="1">
      <alignment horizontal="center"/>
    </xf>
    <xf numFmtId="0" fontId="0" fillId="2" borderId="10" xfId="0" applyFont="1" applyFill="1" applyBorder="1" applyAlignment="1" applyProtection="1">
      <alignment horizontal="center"/>
    </xf>
    <xf numFmtId="0" fontId="0" fillId="2" borderId="1" xfId="0" applyFont="1" applyFill="1" applyBorder="1" applyProtection="1"/>
    <xf numFmtId="0" fontId="0" fillId="2" borderId="2" xfId="0" applyFont="1" applyFill="1" applyBorder="1" applyProtection="1"/>
    <xf numFmtId="0" fontId="0" fillId="2" borderId="3" xfId="0" applyFont="1" applyFill="1" applyBorder="1" applyProtection="1"/>
    <xf numFmtId="5" fontId="0" fillId="2" borderId="0" xfId="0" applyNumberFormat="1" applyFont="1" applyFill="1" applyAlignment="1" applyProtection="1">
      <alignment horizontal="center"/>
    </xf>
    <xf numFmtId="0" fontId="0" fillId="5" borderId="9" xfId="0" applyFont="1" applyFill="1" applyBorder="1" applyProtection="1"/>
    <xf numFmtId="0" fontId="0" fillId="2" borderId="4" xfId="0" applyFont="1" applyFill="1" applyBorder="1" applyProtection="1"/>
    <xf numFmtId="0" fontId="10" fillId="2" borderId="9" xfId="3" applyFont="1" applyFill="1" applyBorder="1" applyAlignment="1" applyProtection="1"/>
    <xf numFmtId="1" fontId="10" fillId="2" borderId="10" xfId="3" applyNumberFormat="1" applyFont="1" applyFill="1" applyBorder="1" applyAlignment="1" applyProtection="1">
      <alignment horizontal="center"/>
    </xf>
    <xf numFmtId="5" fontId="0" fillId="2" borderId="10" xfId="1" applyNumberFormat="1" applyFont="1" applyFill="1" applyBorder="1" applyAlignment="1" applyProtection="1">
      <alignment horizontal="center"/>
    </xf>
    <xf numFmtId="5" fontId="0" fillId="2" borderId="10" xfId="0" applyNumberFormat="1" applyFont="1" applyFill="1" applyBorder="1" applyAlignment="1" applyProtection="1">
      <alignment horizontal="center"/>
    </xf>
    <xf numFmtId="5" fontId="4" fillId="2" borderId="11" xfId="0" applyNumberFormat="1" applyFont="1" applyFill="1" applyBorder="1" applyAlignment="1" applyProtection="1">
      <alignment horizontal="center"/>
    </xf>
    <xf numFmtId="0" fontId="8" fillId="5" borderId="1" xfId="3" applyFont="1" applyFill="1" applyBorder="1" applyAlignment="1" applyProtection="1">
      <alignment horizontal="left" indent="1"/>
    </xf>
    <xf numFmtId="0" fontId="8" fillId="5" borderId="2" xfId="3" applyFont="1" applyFill="1" applyBorder="1" applyAlignment="1" applyProtection="1">
      <alignment horizontal="center"/>
    </xf>
    <xf numFmtId="0" fontId="8" fillId="5" borderId="3" xfId="3" applyFont="1" applyFill="1" applyBorder="1" applyAlignment="1" applyProtection="1">
      <alignment horizontal="center"/>
    </xf>
    <xf numFmtId="0" fontId="8" fillId="2" borderId="0" xfId="3" applyFont="1" applyFill="1" applyAlignment="1" applyProtection="1">
      <alignment horizontal="center"/>
    </xf>
    <xf numFmtId="0" fontId="12" fillId="2" borderId="0" xfId="3" applyFont="1" applyFill="1" applyAlignment="1" applyProtection="1">
      <alignment horizontal="center"/>
    </xf>
    <xf numFmtId="0" fontId="13" fillId="2" borderId="4" xfId="3" applyFont="1" applyFill="1" applyBorder="1" applyAlignment="1" applyProtection="1">
      <alignment horizontal="left" indent="1"/>
    </xf>
    <xf numFmtId="0" fontId="8" fillId="2" borderId="5" xfId="3" applyFont="1" applyFill="1" applyBorder="1" applyAlignment="1" applyProtection="1">
      <alignment horizontal="center"/>
    </xf>
    <xf numFmtId="0" fontId="14" fillId="2" borderId="4" xfId="3" applyFont="1" applyFill="1" applyBorder="1" applyAlignment="1" applyProtection="1">
      <alignment horizontal="left" indent="1"/>
    </xf>
    <xf numFmtId="1" fontId="10" fillId="2" borderId="0" xfId="3" applyNumberFormat="1" applyFont="1" applyFill="1" applyAlignment="1" applyProtection="1">
      <alignment horizontal="center"/>
    </xf>
    <xf numFmtId="165" fontId="0" fillId="2" borderId="0" xfId="1" applyNumberFormat="1" applyFont="1" applyFill="1" applyBorder="1" applyAlignment="1" applyProtection="1">
      <alignment horizontal="center"/>
    </xf>
    <xf numFmtId="0" fontId="0" fillId="0" borderId="5" xfId="0" applyFont="1" applyBorder="1" applyProtection="1"/>
    <xf numFmtId="165" fontId="15" fillId="2" borderId="0" xfId="1" applyNumberFormat="1" applyFont="1" applyFill="1" applyBorder="1" applyProtection="1"/>
    <xf numFmtId="0" fontId="0" fillId="2" borderId="4" xfId="3" applyFont="1" applyFill="1" applyBorder="1" applyAlignment="1" applyProtection="1">
      <alignment horizontal="left" indent="3"/>
    </xf>
    <xf numFmtId="165" fontId="18" fillId="2" borderId="0" xfId="1" applyNumberFormat="1" applyFont="1" applyFill="1" applyBorder="1" applyProtection="1"/>
    <xf numFmtId="0" fontId="4" fillId="2" borderId="4" xfId="3" applyFont="1" applyFill="1" applyBorder="1" applyAlignment="1" applyProtection="1">
      <alignment horizontal="left" indent="3"/>
    </xf>
    <xf numFmtId="5" fontId="19" fillId="2" borderId="0" xfId="1" applyNumberFormat="1" applyFont="1" applyFill="1" applyBorder="1" applyProtection="1"/>
    <xf numFmtId="0" fontId="14" fillId="2" borderId="6" xfId="3" applyFont="1" applyFill="1" applyBorder="1" applyAlignment="1" applyProtection="1">
      <alignment horizontal="left" indent="1"/>
    </xf>
    <xf numFmtId="1" fontId="10" fillId="2" borderId="7" xfId="3" applyNumberFormat="1" applyFont="1" applyFill="1" applyBorder="1" applyAlignment="1" applyProtection="1">
      <alignment horizontal="center"/>
    </xf>
    <xf numFmtId="5" fontId="0" fillId="2" borderId="7" xfId="1" applyNumberFormat="1" applyFont="1" applyFill="1" applyBorder="1" applyAlignment="1" applyProtection="1">
      <alignment horizontal="center"/>
    </xf>
    <xf numFmtId="165" fontId="0" fillId="2" borderId="7" xfId="1" applyNumberFormat="1" applyFont="1" applyFill="1" applyBorder="1" applyAlignment="1" applyProtection="1">
      <alignment horizontal="center"/>
    </xf>
    <xf numFmtId="5" fontId="20" fillId="2" borderId="8" xfId="1" applyNumberFormat="1" applyFont="1" applyFill="1" applyBorder="1" applyAlignment="1" applyProtection="1">
      <alignment horizontal="center"/>
    </xf>
    <xf numFmtId="0" fontId="0" fillId="2" borderId="0" xfId="2" applyNumberFormat="1" applyFont="1" applyFill="1" applyBorder="1" applyAlignment="1" applyProtection="1">
      <alignment horizontal="center"/>
    </xf>
    <xf numFmtId="0" fontId="0" fillId="2" borderId="0" xfId="1" applyNumberFormat="1" applyFont="1" applyFill="1" applyBorder="1" applyAlignment="1" applyProtection="1">
      <alignment horizontal="center"/>
    </xf>
    <xf numFmtId="1" fontId="8" fillId="2" borderId="10" xfId="3" applyNumberFormat="1" applyFont="1" applyFill="1" applyBorder="1" applyAlignment="1" applyProtection="1">
      <alignment horizontal="center"/>
    </xf>
    <xf numFmtId="5" fontId="4" fillId="2" borderId="10" xfId="1" applyNumberFormat="1" applyFont="1" applyFill="1" applyBorder="1" applyAlignment="1" applyProtection="1">
      <alignment horizontal="center"/>
    </xf>
    <xf numFmtId="0" fontId="4" fillId="2" borderId="10" xfId="0" applyFont="1" applyFill="1" applyBorder="1" applyAlignment="1" applyProtection="1">
      <alignment horizontal="center"/>
    </xf>
    <xf numFmtId="9" fontId="0" fillId="2" borderId="0" xfId="0" applyNumberFormat="1" applyFont="1" applyFill="1" applyProtection="1"/>
    <xf numFmtId="0" fontId="4" fillId="2" borderId="0" xfId="1" applyNumberFormat="1" applyFont="1" applyFill="1" applyBorder="1" applyProtection="1"/>
    <xf numFmtId="0" fontId="4" fillId="2" borderId="0" xfId="0" applyFont="1" applyFill="1" applyProtection="1"/>
    <xf numFmtId="5" fontId="15" fillId="2" borderId="0" xfId="1" applyNumberFormat="1" applyFont="1" applyFill="1" applyBorder="1" applyProtection="1"/>
    <xf numFmtId="0" fontId="10" fillId="2" borderId="7" xfId="3" applyFont="1" applyFill="1" applyBorder="1" applyAlignment="1" applyProtection="1">
      <alignment horizontal="center"/>
    </xf>
    <xf numFmtId="5" fontId="10" fillId="2" borderId="7" xfId="3" applyNumberFormat="1" applyFont="1" applyFill="1" applyBorder="1" applyAlignment="1" applyProtection="1">
      <alignment horizontal="center"/>
    </xf>
    <xf numFmtId="0" fontId="0" fillId="2" borderId="7" xfId="0" applyFont="1" applyFill="1" applyBorder="1" applyAlignment="1" applyProtection="1">
      <alignment horizontal="center"/>
    </xf>
    <xf numFmtId="0" fontId="0" fillId="0" borderId="8" xfId="0" applyFont="1" applyBorder="1" applyAlignment="1" applyProtection="1">
      <alignment horizontal="center"/>
    </xf>
    <xf numFmtId="0" fontId="21" fillId="2" borderId="0" xfId="3" applyFont="1" applyFill="1" applyProtection="1"/>
    <xf numFmtId="0" fontId="4" fillId="2" borderId="9" xfId="3" applyFont="1" applyFill="1" applyBorder="1" applyAlignment="1" applyProtection="1">
      <alignment horizontal="left" indent="3"/>
    </xf>
    <xf numFmtId="0" fontId="10" fillId="2" borderId="10" xfId="3" applyFont="1" applyFill="1" applyBorder="1" applyAlignment="1" applyProtection="1">
      <alignment horizontal="center"/>
    </xf>
    <xf numFmtId="5" fontId="10" fillId="2" borderId="10" xfId="3" applyNumberFormat="1" applyFont="1" applyFill="1" applyBorder="1" applyAlignment="1" applyProtection="1">
      <alignment horizontal="center"/>
    </xf>
    <xf numFmtId="0" fontId="10" fillId="2" borderId="0" xfId="3" applyFont="1" applyFill="1" applyAlignment="1" applyProtection="1">
      <alignment horizontal="center"/>
    </xf>
    <xf numFmtId="5" fontId="10" fillId="2" borderId="0" xfId="3" applyNumberFormat="1" applyFont="1" applyFill="1" applyAlignment="1" applyProtection="1">
      <alignment horizontal="center"/>
    </xf>
    <xf numFmtId="0" fontId="0" fillId="0" borderId="5" xfId="0" applyFont="1" applyBorder="1" applyAlignment="1" applyProtection="1">
      <alignment horizontal="center"/>
    </xf>
    <xf numFmtId="0" fontId="0" fillId="2" borderId="0" xfId="1" applyNumberFormat="1" applyFont="1" applyFill="1" applyBorder="1" applyProtection="1"/>
    <xf numFmtId="0" fontId="8" fillId="2" borderId="1" xfId="3" applyFont="1" applyFill="1" applyBorder="1" applyAlignment="1" applyProtection="1">
      <alignment horizontal="left" indent="1"/>
    </xf>
    <xf numFmtId="0" fontId="8" fillId="2" borderId="2" xfId="3" applyFont="1" applyFill="1" applyBorder="1" applyAlignment="1" applyProtection="1">
      <alignment horizontal="center"/>
    </xf>
    <xf numFmtId="0" fontId="10" fillId="2" borderId="2" xfId="3" applyFont="1" applyFill="1" applyBorder="1" applyAlignment="1" applyProtection="1">
      <alignment horizontal="center"/>
    </xf>
    <xf numFmtId="0" fontId="0" fillId="2" borderId="2" xfId="0" applyFont="1" applyFill="1" applyBorder="1" applyAlignment="1" applyProtection="1">
      <alignment horizontal="center"/>
    </xf>
    <xf numFmtId="0" fontId="4" fillId="11" borderId="6" xfId="0" applyFont="1" applyFill="1" applyBorder="1" applyProtection="1"/>
    <xf numFmtId="0" fontId="4" fillId="11" borderId="7" xfId="0" applyFont="1" applyFill="1" applyBorder="1" applyProtection="1"/>
    <xf numFmtId="0" fontId="4" fillId="11" borderId="7" xfId="0" applyFont="1" applyFill="1" applyBorder="1" applyAlignment="1" applyProtection="1">
      <alignment horizontal="center"/>
    </xf>
    <xf numFmtId="165" fontId="12" fillId="11" borderId="8" xfId="1" applyNumberFormat="1" applyFont="1" applyFill="1" applyBorder="1" applyAlignment="1" applyProtection="1">
      <alignment horizontal="center"/>
    </xf>
    <xf numFmtId="5" fontId="0" fillId="9" borderId="5" xfId="0" applyNumberFormat="1" applyFont="1" applyFill="1" applyBorder="1" applyAlignment="1" applyProtection="1">
      <alignment horizontal="center"/>
    </xf>
    <xf numFmtId="164" fontId="0" fillId="9" borderId="5" xfId="2" applyNumberFormat="1" applyFont="1" applyFill="1" applyBorder="1" applyAlignment="1" applyProtection="1">
      <alignment horizontal="center"/>
    </xf>
    <xf numFmtId="0" fontId="0" fillId="2" borderId="9" xfId="0" applyFont="1" applyFill="1" applyBorder="1" applyProtection="1"/>
    <xf numFmtId="0" fontId="0" fillId="2" borderId="10" xfId="0" applyFont="1" applyFill="1" applyBorder="1" applyProtection="1"/>
    <xf numFmtId="9" fontId="0" fillId="9" borderId="11" xfId="2" applyFont="1" applyFill="1" applyBorder="1" applyAlignment="1" applyProtection="1">
      <alignment horizontal="center"/>
    </xf>
    <xf numFmtId="0" fontId="2" fillId="0" borderId="0" xfId="0" applyFont="1"/>
    <xf numFmtId="0" fontId="2" fillId="0" borderId="0" xfId="0" applyFont="1" applyAlignment="1">
      <alignment horizontal="center"/>
    </xf>
    <xf numFmtId="0" fontId="5" fillId="0" borderId="0" xfId="0" applyFont="1" applyFill="1"/>
    <xf numFmtId="0" fontId="2" fillId="0" borderId="0" xfId="0" applyFont="1" applyFill="1"/>
    <xf numFmtId="9" fontId="5" fillId="0" borderId="0" xfId="0" applyNumberFormat="1" applyFont="1"/>
    <xf numFmtId="0" fontId="5" fillId="0" borderId="0" xfId="0" applyFont="1" applyAlignment="1">
      <alignment horizontal="center"/>
    </xf>
    <xf numFmtId="9" fontId="5" fillId="0" borderId="0" xfId="0" applyNumberFormat="1" applyFont="1" applyAlignment="1">
      <alignment horizontal="center"/>
    </xf>
    <xf numFmtId="9" fontId="5" fillId="0" borderId="0" xfId="2" applyFont="1" applyFill="1" applyBorder="1" applyAlignment="1">
      <alignment horizontal="center"/>
    </xf>
    <xf numFmtId="9" fontId="44" fillId="0" borderId="0" xfId="0" applyNumberFormat="1" applyFont="1" applyAlignment="1">
      <alignment horizontal="center"/>
    </xf>
    <xf numFmtId="0" fontId="4" fillId="5" borderId="0" xfId="0" applyFont="1" applyFill="1" applyBorder="1" applyAlignment="1">
      <alignment horizontal="center"/>
    </xf>
    <xf numFmtId="0" fontId="4" fillId="5" borderId="5" xfId="0" applyFont="1" applyFill="1" applyBorder="1" applyAlignment="1">
      <alignment horizontal="center"/>
    </xf>
    <xf numFmtId="0" fontId="4" fillId="2" borderId="7" xfId="0" applyFont="1" applyFill="1" applyBorder="1" applyAlignment="1">
      <alignment horizontal="center"/>
    </xf>
    <xf numFmtId="0" fontId="0" fillId="2" borderId="0" xfId="0" applyFont="1" applyFill="1" applyBorder="1" applyAlignment="1">
      <alignment horizontal="center"/>
    </xf>
    <xf numFmtId="5" fontId="0" fillId="2" borderId="9" xfId="0" applyNumberFormat="1" applyFont="1" applyFill="1" applyBorder="1" applyAlignment="1">
      <alignment horizontal="center"/>
    </xf>
    <xf numFmtId="5" fontId="8" fillId="2" borderId="0" xfId="2" applyNumberFormat="1" applyFont="1" applyFill="1" applyBorder="1" applyAlignment="1" applyProtection="1">
      <alignment horizontal="center"/>
    </xf>
    <xf numFmtId="0" fontId="5" fillId="2" borderId="0" xfId="0" applyFont="1" applyFill="1" applyAlignment="1">
      <alignment horizontal="center"/>
    </xf>
    <xf numFmtId="0" fontId="4" fillId="2" borderId="7" xfId="0" applyFont="1" applyFill="1" applyBorder="1" applyAlignment="1">
      <alignment horizontal="center"/>
    </xf>
    <xf numFmtId="0" fontId="0" fillId="2" borderId="0"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35" fillId="3" borderId="0" xfId="0" applyFont="1" applyFill="1" applyBorder="1" applyAlignment="1">
      <alignment horizontal="center" vertical="top" wrapText="1"/>
    </xf>
    <xf numFmtId="0" fontId="35" fillId="3" borderId="0" xfId="0" applyFont="1" applyFill="1" applyBorder="1" applyAlignment="1">
      <alignment horizontal="center" vertical="top"/>
    </xf>
    <xf numFmtId="0" fontId="4" fillId="5" borderId="4" xfId="0" applyFont="1" applyFill="1" applyBorder="1" applyAlignment="1">
      <alignment horizontal="center"/>
    </xf>
    <xf numFmtId="0" fontId="4" fillId="5" borderId="0" xfId="0" applyFont="1" applyFill="1" applyBorder="1" applyAlignment="1">
      <alignment horizontal="center"/>
    </xf>
    <xf numFmtId="0" fontId="4" fillId="5" borderId="5" xfId="0" applyFont="1" applyFill="1" applyBorder="1" applyAlignment="1">
      <alignment horizontal="center"/>
    </xf>
    <xf numFmtId="0" fontId="0" fillId="8" borderId="10" xfId="0" applyFill="1" applyBorder="1" applyAlignment="1" applyProtection="1">
      <alignment horizontal="center"/>
      <protection locked="0"/>
    </xf>
    <xf numFmtId="0" fontId="0" fillId="8" borderId="11" xfId="0" applyFill="1" applyBorder="1" applyAlignment="1" applyProtection="1">
      <alignment horizontal="center"/>
      <protection locked="0"/>
    </xf>
    <xf numFmtId="0" fontId="0" fillId="8" borderId="0" xfId="0" applyFill="1" applyBorder="1" applyAlignment="1" applyProtection="1">
      <alignment horizontal="center"/>
      <protection locked="0"/>
    </xf>
    <xf numFmtId="0" fontId="0" fillId="8" borderId="0" xfId="0" applyFont="1" applyFill="1" applyBorder="1" applyAlignment="1" applyProtection="1">
      <alignment horizontal="left"/>
      <protection locked="0"/>
    </xf>
    <xf numFmtId="0" fontId="0" fillId="2" borderId="0" xfId="0" applyFont="1" applyFill="1" applyBorder="1" applyAlignment="1">
      <alignment horizontal="center" vertical="top"/>
    </xf>
    <xf numFmtId="0" fontId="0" fillId="2" borderId="0" xfId="0" applyFont="1" applyFill="1" applyBorder="1" applyAlignment="1" applyProtection="1">
      <alignment horizontal="center"/>
      <protection locked="0"/>
    </xf>
    <xf numFmtId="9" fontId="0" fillId="8" borderId="0" xfId="2" applyFont="1" applyFill="1" applyBorder="1" applyAlignment="1" applyProtection="1">
      <alignment horizontal="center"/>
      <protection locked="0"/>
    </xf>
    <xf numFmtId="5" fontId="0" fillId="8" borderId="0" xfId="0" applyNumberFormat="1" applyFont="1" applyFill="1" applyBorder="1" applyAlignment="1" applyProtection="1">
      <alignment horizontal="left"/>
      <protection locked="0"/>
    </xf>
    <xf numFmtId="0" fontId="38" fillId="7" borderId="0" xfId="0" applyFont="1" applyFill="1" applyBorder="1" applyAlignment="1">
      <alignment horizontal="center" vertical="center"/>
    </xf>
    <xf numFmtId="0" fontId="31" fillId="5" borderId="43" xfId="0" applyFont="1" applyFill="1" applyBorder="1" applyAlignment="1">
      <alignment horizontal="center"/>
    </xf>
    <xf numFmtId="0" fontId="31" fillId="5" borderId="44" xfId="0" applyFont="1" applyFill="1" applyBorder="1" applyAlignment="1">
      <alignment horizontal="center"/>
    </xf>
    <xf numFmtId="0" fontId="31" fillId="5" borderId="45" xfId="0" applyFont="1" applyFill="1" applyBorder="1" applyAlignment="1">
      <alignment horizontal="center"/>
    </xf>
    <xf numFmtId="0" fontId="4" fillId="2" borderId="7" xfId="0" applyFont="1" applyFill="1" applyBorder="1" applyAlignment="1">
      <alignment horizontal="center"/>
    </xf>
    <xf numFmtId="0" fontId="0" fillId="2" borderId="0" xfId="0" applyFont="1" applyFill="1" applyBorder="1" applyAlignment="1">
      <alignment horizontal="center"/>
    </xf>
    <xf numFmtId="0" fontId="4" fillId="2" borderId="0" xfId="0" applyFont="1" applyFill="1" applyBorder="1" applyAlignment="1">
      <alignment horizontal="center"/>
    </xf>
    <xf numFmtId="9" fontId="0" fillId="8" borderId="24" xfId="0" applyNumberFormat="1" applyFont="1" applyFill="1" applyBorder="1" applyAlignment="1" applyProtection="1">
      <alignment horizontal="center"/>
      <protection locked="0"/>
    </xf>
    <xf numFmtId="9" fontId="0" fillId="8" borderId="31" xfId="0" applyNumberFormat="1" applyFont="1" applyFill="1" applyBorder="1" applyAlignment="1" applyProtection="1">
      <alignment horizontal="center"/>
      <protection locked="0"/>
    </xf>
    <xf numFmtId="9" fontId="0" fillId="5" borderId="24" xfId="0" applyNumberFormat="1" applyFont="1" applyFill="1" applyBorder="1" applyAlignment="1">
      <alignment horizontal="center"/>
    </xf>
    <xf numFmtId="9" fontId="0" fillId="5" borderId="31" xfId="0" applyNumberFormat="1" applyFont="1" applyFill="1" applyBorder="1" applyAlignment="1">
      <alignment horizontal="center"/>
    </xf>
    <xf numFmtId="9" fontId="0" fillId="5" borderId="0" xfId="0" applyNumberFormat="1" applyFont="1" applyFill="1" applyBorder="1" applyAlignment="1">
      <alignment horizontal="center"/>
    </xf>
    <xf numFmtId="10" fontId="10" fillId="5" borderId="0" xfId="0" applyNumberFormat="1" applyFont="1" applyFill="1" applyBorder="1" applyAlignment="1" applyProtection="1">
      <alignment horizontal="center"/>
      <protection locked="0"/>
    </xf>
    <xf numFmtId="10" fontId="10" fillId="5" borderId="35" xfId="0" applyNumberFormat="1" applyFont="1" applyFill="1" applyBorder="1" applyAlignment="1" applyProtection="1">
      <alignment horizontal="center"/>
      <protection locked="0"/>
    </xf>
    <xf numFmtId="9" fontId="10" fillId="5" borderId="24" xfId="0" applyNumberFormat="1" applyFont="1" applyFill="1" applyBorder="1" applyAlignment="1">
      <alignment horizontal="center"/>
    </xf>
    <xf numFmtId="9" fontId="10" fillId="5" borderId="31" xfId="0" applyNumberFormat="1" applyFont="1" applyFill="1" applyBorder="1" applyAlignment="1">
      <alignment horizontal="center"/>
    </xf>
    <xf numFmtId="9" fontId="0" fillId="8" borderId="0" xfId="0" applyNumberFormat="1" applyFont="1" applyFill="1" applyBorder="1" applyAlignment="1" applyProtection="1">
      <alignment horizontal="center"/>
      <protection locked="0"/>
    </xf>
    <xf numFmtId="9" fontId="0" fillId="8" borderId="35" xfId="0" applyNumberFormat="1" applyFont="1" applyFill="1" applyBorder="1" applyAlignment="1" applyProtection="1">
      <alignment horizontal="center"/>
      <protection locked="0"/>
    </xf>
    <xf numFmtId="0" fontId="10" fillId="8" borderId="0" xfId="0" applyFont="1" applyFill="1" applyBorder="1" applyAlignment="1" applyProtection="1">
      <alignment horizontal="center"/>
      <protection locked="0"/>
    </xf>
    <xf numFmtId="0" fontId="10" fillId="8" borderId="35" xfId="0" applyFont="1" applyFill="1" applyBorder="1" applyAlignment="1" applyProtection="1">
      <alignment horizontal="center"/>
      <protection locked="0"/>
    </xf>
    <xf numFmtId="9" fontId="4" fillId="2" borderId="0" xfId="0" applyNumberFormat="1" applyFont="1" applyFill="1" applyBorder="1" applyAlignment="1">
      <alignment horizontal="center"/>
    </xf>
    <xf numFmtId="9" fontId="4" fillId="2" borderId="35" xfId="0" applyNumberFormat="1" applyFont="1" applyFill="1" applyBorder="1" applyAlignment="1">
      <alignment horizontal="center"/>
    </xf>
    <xf numFmtId="10" fontId="10" fillId="8" borderId="0" xfId="0" applyNumberFormat="1" applyFont="1" applyFill="1" applyBorder="1" applyAlignment="1" applyProtection="1">
      <alignment horizontal="center"/>
      <protection locked="0"/>
    </xf>
    <xf numFmtId="10" fontId="10" fillId="8" borderId="35" xfId="0" applyNumberFormat="1" applyFont="1" applyFill="1" applyBorder="1" applyAlignment="1" applyProtection="1">
      <alignment horizontal="center"/>
      <protection locked="0"/>
    </xf>
    <xf numFmtId="0" fontId="0" fillId="4" borderId="27" xfId="0" applyFont="1" applyFill="1" applyBorder="1" applyAlignment="1">
      <alignment horizontal="center"/>
    </xf>
    <xf numFmtId="0" fontId="0" fillId="4" borderId="36" xfId="0" applyFont="1" applyFill="1" applyBorder="1" applyAlignment="1">
      <alignment horizontal="center"/>
    </xf>
    <xf numFmtId="6" fontId="10" fillId="8" borderId="0" xfId="0" applyNumberFormat="1" applyFont="1" applyFill="1" applyBorder="1" applyAlignment="1" applyProtection="1">
      <alignment horizontal="center"/>
      <protection locked="0"/>
    </xf>
    <xf numFmtId="6" fontId="10" fillId="8" borderId="35" xfId="0" applyNumberFormat="1" applyFont="1" applyFill="1" applyBorder="1" applyAlignment="1" applyProtection="1">
      <alignment horizontal="center"/>
      <protection locked="0"/>
    </xf>
    <xf numFmtId="0" fontId="14" fillId="2" borderId="6" xfId="0" applyFont="1" applyFill="1" applyBorder="1" applyAlignment="1">
      <alignment horizontal="center"/>
    </xf>
    <xf numFmtId="0" fontId="14" fillId="2" borderId="8" xfId="0" applyFont="1" applyFill="1" applyBorder="1" applyAlignment="1">
      <alignment horizontal="center"/>
    </xf>
    <xf numFmtId="0" fontId="14" fillId="2" borderId="7"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2" borderId="0" xfId="0" applyFont="1" applyFill="1" applyAlignment="1">
      <alignment horizontal="center"/>
    </xf>
    <xf numFmtId="0" fontId="5" fillId="2" borderId="0" xfId="0" applyFont="1" applyFill="1" applyAlignment="1">
      <alignment horizontal="center"/>
    </xf>
    <xf numFmtId="0" fontId="10" fillId="2" borderId="0" xfId="0" applyFont="1" applyFill="1" applyAlignment="1">
      <alignment horizontal="left"/>
    </xf>
    <xf numFmtId="0" fontId="10" fillId="2" borderId="5" xfId="0" applyFont="1" applyFill="1" applyBorder="1" applyAlignment="1">
      <alignment horizontal="left"/>
    </xf>
    <xf numFmtId="0" fontId="39" fillId="2" borderId="9" xfId="0" applyFont="1" applyFill="1" applyBorder="1" applyAlignment="1">
      <alignment horizontal="center"/>
    </xf>
    <xf numFmtId="0" fontId="39" fillId="2" borderId="11" xfId="0" applyFont="1" applyFill="1" applyBorder="1" applyAlignment="1">
      <alignment horizontal="center"/>
    </xf>
    <xf numFmtId="0" fontId="39" fillId="2" borderId="10" xfId="0" applyFont="1" applyFill="1" applyBorder="1" applyAlignment="1">
      <alignment horizontal="center"/>
    </xf>
    <xf numFmtId="0" fontId="3" fillId="2" borderId="0" xfId="0" applyFont="1" applyFill="1" applyAlignment="1">
      <alignment horizontal="center"/>
    </xf>
    <xf numFmtId="0" fontId="33" fillId="3" borderId="0" xfId="0" applyFont="1" applyFill="1" applyBorder="1" applyAlignment="1">
      <alignment horizontal="center"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0" fillId="2" borderId="0" xfId="0" applyFill="1" applyBorder="1" applyAlignment="1">
      <alignment horizontal="left" vertical="top" wrapText="1"/>
    </xf>
    <xf numFmtId="0" fontId="0" fillId="2" borderId="0" xfId="0" applyFill="1" applyBorder="1" applyAlignment="1">
      <alignment horizontal="left" wrapText="1"/>
    </xf>
    <xf numFmtId="0" fontId="0" fillId="5" borderId="6" xfId="0" applyFill="1" applyBorder="1" applyAlignment="1">
      <alignment horizontal="center"/>
    </xf>
    <xf numFmtId="0" fontId="0" fillId="5" borderId="7" xfId="0" applyFill="1" applyBorder="1" applyAlignment="1">
      <alignment horizontal="center"/>
    </xf>
    <xf numFmtId="0" fontId="0" fillId="2" borderId="0"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4"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38" fillId="7" borderId="0" xfId="0" applyFont="1" applyFill="1" applyBorder="1" applyAlignment="1" applyProtection="1">
      <alignment horizontal="center" vertical="center"/>
    </xf>
    <xf numFmtId="0" fontId="4" fillId="4" borderId="1" xfId="0" applyFont="1" applyFill="1" applyBorder="1" applyAlignment="1" applyProtection="1">
      <alignment horizontal="center"/>
    </xf>
    <xf numFmtId="0" fontId="4" fillId="4" borderId="2" xfId="0" applyFont="1" applyFill="1" applyBorder="1" applyAlignment="1" applyProtection="1">
      <alignment horizontal="center"/>
    </xf>
    <xf numFmtId="0" fontId="4" fillId="4" borderId="3" xfId="0" applyFont="1" applyFill="1" applyBorder="1" applyAlignment="1" applyProtection="1">
      <alignment horizontal="center"/>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2" borderId="0" xfId="0" applyFont="1" applyFill="1" applyBorder="1" applyAlignment="1" applyProtection="1">
      <alignment horizontal="center"/>
    </xf>
    <xf numFmtId="0" fontId="4" fillId="5" borderId="6" xfId="0" applyFont="1" applyFill="1" applyBorder="1" applyAlignment="1" applyProtection="1">
      <alignment horizontal="center"/>
    </xf>
    <xf numFmtId="0" fontId="4" fillId="5" borderId="7" xfId="0" applyFont="1" applyFill="1" applyBorder="1" applyAlignment="1" applyProtection="1">
      <alignment horizontal="center"/>
    </xf>
    <xf numFmtId="0" fontId="4" fillId="5" borderId="8" xfId="0" applyFont="1" applyFill="1" applyBorder="1" applyAlignment="1" applyProtection="1">
      <alignment horizontal="center"/>
    </xf>
    <xf numFmtId="0" fontId="4" fillId="5" borderId="6" xfId="0" applyFont="1" applyFill="1" applyBorder="1" applyAlignment="1">
      <alignment horizontal="center" vertical="top"/>
    </xf>
    <xf numFmtId="0" fontId="4" fillId="5" borderId="8" xfId="0" applyFont="1" applyFill="1" applyBorder="1" applyAlignment="1">
      <alignment horizontal="center" vertical="top"/>
    </xf>
    <xf numFmtId="0" fontId="38" fillId="7" borderId="0" xfId="3" applyFont="1" applyFill="1" applyBorder="1" applyAlignment="1">
      <alignment horizontal="center" vertical="center"/>
    </xf>
    <xf numFmtId="0" fontId="0" fillId="2" borderId="0" xfId="0" applyFont="1" applyFill="1" applyAlignment="1">
      <alignment horizontal="center"/>
    </xf>
    <xf numFmtId="0" fontId="24" fillId="5" borderId="6" xfId="4" applyFont="1" applyFill="1" applyBorder="1" applyAlignment="1">
      <alignment horizontal="center" vertical="center"/>
    </xf>
    <xf numFmtId="0" fontId="24" fillId="5" borderId="7" xfId="4" applyFont="1" applyFill="1" applyBorder="1" applyAlignment="1">
      <alignment horizontal="center" vertical="center"/>
    </xf>
    <xf numFmtId="0" fontId="24" fillId="5" borderId="8" xfId="4" applyFont="1" applyFill="1" applyBorder="1" applyAlignment="1">
      <alignment horizontal="center" vertical="center"/>
    </xf>
    <xf numFmtId="0" fontId="24" fillId="5" borderId="9" xfId="4" applyFont="1" applyFill="1" applyBorder="1" applyAlignment="1">
      <alignment horizontal="center" vertical="center"/>
    </xf>
    <xf numFmtId="0" fontId="24" fillId="5" borderId="10" xfId="4" applyFont="1" applyFill="1" applyBorder="1" applyAlignment="1">
      <alignment horizontal="center" vertical="center"/>
    </xf>
    <xf numFmtId="0" fontId="24" fillId="5" borderId="11" xfId="4"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8" borderId="6" xfId="0" applyFont="1" applyFill="1" applyBorder="1" applyAlignment="1" applyProtection="1">
      <alignment horizontal="center" vertical="center"/>
      <protection locked="0"/>
    </xf>
    <xf numFmtId="0" fontId="4" fillId="8" borderId="7" xfId="0" applyFont="1" applyFill="1" applyBorder="1" applyAlignment="1" applyProtection="1">
      <alignment horizontal="center" vertical="center"/>
      <protection locked="0"/>
    </xf>
    <xf numFmtId="0" fontId="4" fillId="8" borderId="8" xfId="0" applyFont="1" applyFill="1" applyBorder="1" applyAlignment="1" applyProtection="1">
      <alignment horizontal="center" vertical="center"/>
      <protection locked="0"/>
    </xf>
    <xf numFmtId="0" fontId="4" fillId="8" borderId="9"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vertical="center"/>
      <protection locked="0"/>
    </xf>
    <xf numFmtId="0" fontId="8" fillId="4" borderId="0" xfId="3" applyFont="1" applyFill="1" applyAlignment="1">
      <alignment horizontal="center"/>
    </xf>
    <xf numFmtId="0" fontId="36" fillId="2" borderId="0" xfId="3" applyFont="1" applyFill="1" applyAlignment="1">
      <alignment horizontal="center"/>
    </xf>
    <xf numFmtId="0" fontId="31" fillId="5" borderId="62" xfId="3" applyFont="1" applyFill="1" applyBorder="1" applyAlignment="1">
      <alignment horizontal="center"/>
    </xf>
    <xf numFmtId="0" fontId="31" fillId="5" borderId="63" xfId="3" applyFont="1" applyFill="1" applyBorder="1" applyAlignment="1">
      <alignment horizontal="center"/>
    </xf>
    <xf numFmtId="0" fontId="31" fillId="5" borderId="64" xfId="3" applyFont="1" applyFill="1" applyBorder="1" applyAlignment="1">
      <alignment horizontal="center"/>
    </xf>
    <xf numFmtId="0" fontId="0" fillId="5" borderId="6" xfId="0" applyFont="1" applyFill="1" applyBorder="1" applyAlignment="1">
      <alignment horizontal="center"/>
    </xf>
    <xf numFmtId="0" fontId="0" fillId="5" borderId="7" xfId="0" applyFont="1" applyFill="1" applyBorder="1" applyAlignment="1">
      <alignment horizontal="center"/>
    </xf>
    <xf numFmtId="0" fontId="0" fillId="5" borderId="8" xfId="0" applyFont="1" applyFill="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cellXfs>
  <cellStyles count="6">
    <cellStyle name="Comma" xfId="1" builtinId="3"/>
    <cellStyle name="Normal" xfId="0" builtinId="0"/>
    <cellStyle name="Normal 10" xfId="3" xr:uid="{DB773612-956E-4D55-B9BA-55D18309D32E}"/>
    <cellStyle name="Normal 2 5" xfId="4" xr:uid="{F0A18271-82FC-429E-AD03-A628B55B4AC5}"/>
    <cellStyle name="Percent" xfId="2" builtinId="5"/>
    <cellStyle name="Percent 2 2" xfId="5" xr:uid="{0D1931E9-3D14-4CFF-A045-FAB371D74253}"/>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NZ"/>
              <a:t>Full Purchase - Purchase Price, Loan Requirement, LVR %, DSR %</a:t>
            </a:r>
          </a:p>
        </c:rich>
      </c:tx>
      <c:overlay val="0"/>
      <c:spPr>
        <a:solidFill>
          <a:sysClr val="window" lastClr="FFFFFF"/>
        </a:solid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tx>
            <c:v>Estimated Purchase Price</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val>
            <c:numRef>
              <c:f>'AHM - Rent to Buy'!$F$105:$T$105</c:f>
              <c:numCache>
                <c:formatCode>"$"#,##0_);\("$"#,##0\)</c:formatCode>
                <c:ptCount val="15"/>
                <c:pt idx="0">
                  <c:v>663000</c:v>
                </c:pt>
                <c:pt idx="1">
                  <c:v>676260</c:v>
                </c:pt>
                <c:pt idx="2">
                  <c:v>689785.20000000007</c:v>
                </c:pt>
                <c:pt idx="3">
                  <c:v>703580.9040000001</c:v>
                </c:pt>
                <c:pt idx="4">
                  <c:v>717652.52208000014</c:v>
                </c:pt>
                <c:pt idx="5">
                  <c:v>732005.57252160017</c:v>
                </c:pt>
                <c:pt idx="6">
                  <c:v>746645.68397203216</c:v>
                </c:pt>
                <c:pt idx="7">
                  <c:v>761578.59765147278</c:v>
                </c:pt>
                <c:pt idx="8">
                  <c:v>776810.16960450227</c:v>
                </c:pt>
                <c:pt idx="9">
                  <c:v>792346.37299659231</c:v>
                </c:pt>
                <c:pt idx="10">
                  <c:v>808193.30045652413</c:v>
                </c:pt>
                <c:pt idx="11">
                  <c:v>824357.16646565462</c:v>
                </c:pt>
                <c:pt idx="12">
                  <c:v>840844.30979496776</c:v>
                </c:pt>
                <c:pt idx="13">
                  <c:v>857661.1959908671</c:v>
                </c:pt>
                <c:pt idx="14">
                  <c:v>874814.41991068446</c:v>
                </c:pt>
              </c:numCache>
            </c:numRef>
          </c:val>
          <c:extLst>
            <c:ext xmlns:c16="http://schemas.microsoft.com/office/drawing/2014/chart" uri="{C3380CC4-5D6E-409C-BE32-E72D297353CC}">
              <c16:uniqueId val="{00000000-BC30-4FED-AE70-E2853B6BF9AA}"/>
            </c:ext>
          </c:extLst>
        </c:ser>
        <c:ser>
          <c:idx val="1"/>
          <c:order val="1"/>
          <c:tx>
            <c:v>Household/Whanau Loan Requirement </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val>
            <c:numRef>
              <c:f>'AHM - Rent to Buy'!$F$118:$T$118</c:f>
              <c:numCache>
                <c:formatCode>"$"#,##0_);\("$"#,##0\)</c:formatCode>
                <c:ptCount val="15"/>
                <c:pt idx="0">
                  <c:v>588659.56000000006</c:v>
                </c:pt>
                <c:pt idx="1">
                  <c:v>577152.3112</c:v>
                </c:pt>
                <c:pt idx="2">
                  <c:v>565474.9174240001</c:v>
                </c:pt>
                <c:pt idx="3">
                  <c:v>553623.97577248001</c:v>
                </c:pt>
                <c:pt idx="4">
                  <c:v>541596.01528792968</c:v>
                </c:pt>
                <c:pt idx="5">
                  <c:v>529387.49559368833</c:v>
                </c:pt>
                <c:pt idx="6">
                  <c:v>516994.80550556211</c:v>
                </c:pt>
                <c:pt idx="7">
                  <c:v>504414.26161567331</c:v>
                </c:pt>
                <c:pt idx="8">
                  <c:v>491642.10684798681</c:v>
                </c:pt>
                <c:pt idx="9">
                  <c:v>478674.50898494653</c:v>
                </c:pt>
                <c:pt idx="10">
                  <c:v>465507.5591646455</c:v>
                </c:pt>
                <c:pt idx="11">
                  <c:v>452137.27034793841</c:v>
                </c:pt>
                <c:pt idx="12">
                  <c:v>438559.5757548972</c:v>
                </c:pt>
                <c:pt idx="13">
                  <c:v>424770.32726999512</c:v>
                </c:pt>
                <c:pt idx="14">
                  <c:v>410765.29381539504</c:v>
                </c:pt>
              </c:numCache>
            </c:numRef>
          </c:val>
          <c:extLst>
            <c:ext xmlns:c16="http://schemas.microsoft.com/office/drawing/2014/chart" uri="{C3380CC4-5D6E-409C-BE32-E72D297353CC}">
              <c16:uniqueId val="{00000001-BC30-4FED-AE70-E2853B6BF9AA}"/>
            </c:ext>
          </c:extLst>
        </c:ser>
        <c:dLbls>
          <c:showLegendKey val="0"/>
          <c:showVal val="0"/>
          <c:showCatName val="0"/>
          <c:showSerName val="0"/>
          <c:showPercent val="0"/>
          <c:showBubbleSize val="0"/>
        </c:dLbls>
        <c:gapWidth val="100"/>
        <c:axId val="316938152"/>
        <c:axId val="316938480"/>
      </c:barChart>
      <c:lineChart>
        <c:grouping val="standard"/>
        <c:varyColors val="0"/>
        <c:ser>
          <c:idx val="2"/>
          <c:order val="2"/>
          <c:tx>
            <c:v>LVR %</c:v>
          </c:tx>
          <c:spPr>
            <a:ln w="31750" cap="rnd">
              <a:solidFill>
                <a:srgbClr val="00B0F0"/>
              </a:solidFill>
              <a:round/>
            </a:ln>
            <a:effectLst/>
          </c:spPr>
          <c:marker>
            <c:symbol val="none"/>
          </c:marker>
          <c:val>
            <c:numRef>
              <c:f>'AHM - Rent to Buy'!$F$131:$T$131</c:f>
              <c:numCache>
                <c:formatCode>0%</c:formatCode>
                <c:ptCount val="15"/>
                <c:pt idx="0">
                  <c:v>0.88787263951734552</c:v>
                </c:pt>
                <c:pt idx="1">
                  <c:v>0.85344735929967763</c:v>
                </c:pt>
                <c:pt idx="2">
                  <c:v>0.819784068176586</c:v>
                </c:pt>
                <c:pt idx="3">
                  <c:v>0.78686611962464514</c:v>
                </c:pt>
                <c:pt idx="4">
                  <c:v>0.75467722696521844</c:v>
                </c:pt>
                <c:pt idx="5">
                  <c:v>0.72320145565294458</c:v>
                </c:pt>
                <c:pt idx="6">
                  <c:v>0.69242321572828869</c:v>
                </c:pt>
                <c:pt idx="7">
                  <c:v>0.66232725443068763</c:v>
                </c:pt>
                <c:pt idx="8">
                  <c:v>0.63289864896889392</c:v>
                </c:pt>
                <c:pt idx="9">
                  <c:v>0.60412279944519309</c:v>
                </c:pt>
                <c:pt idx="10">
                  <c:v>0.57598542193024149</c:v>
                </c:pt>
                <c:pt idx="11">
                  <c:v>0.54847254168533499</c:v>
                </c:pt>
                <c:pt idx="12">
                  <c:v>0.52157048652899363</c:v>
                </c:pt>
                <c:pt idx="13">
                  <c:v>0.49526588034480501</c:v>
                </c:pt>
                <c:pt idx="14">
                  <c:v>0.46954563672753902</c:v>
                </c:pt>
              </c:numCache>
            </c:numRef>
          </c:val>
          <c:smooth val="0"/>
          <c:extLst>
            <c:ext xmlns:c16="http://schemas.microsoft.com/office/drawing/2014/chart" uri="{C3380CC4-5D6E-409C-BE32-E72D297353CC}">
              <c16:uniqueId val="{00000002-BC30-4FED-AE70-E2853B6BF9AA}"/>
            </c:ext>
          </c:extLst>
        </c:ser>
        <c:ser>
          <c:idx val="3"/>
          <c:order val="3"/>
          <c:tx>
            <c:v>DSR %</c:v>
          </c:tx>
          <c:spPr>
            <a:ln w="31750" cap="rnd">
              <a:solidFill>
                <a:srgbClr val="FFCC00"/>
              </a:solidFill>
              <a:round/>
            </a:ln>
            <a:effectLst/>
          </c:spPr>
          <c:marker>
            <c:symbol val="none"/>
          </c:marker>
          <c:val>
            <c:numRef>
              <c:f>'AHM - Rent to Buy'!$F$132:$T$132</c:f>
              <c:numCache>
                <c:formatCode>0%</c:formatCode>
                <c:ptCount val="15"/>
                <c:pt idx="0">
                  <c:v>0.48202581517991938</c:v>
                </c:pt>
                <c:pt idx="1">
                  <c:v>0.46533236200383088</c:v>
                </c:pt>
                <c:pt idx="2">
                  <c:v>0.44900841139070108</c:v>
                </c:pt>
                <c:pt idx="3">
                  <c:v>0.43304589113436065</c:v>
                </c:pt>
                <c:pt idx="4">
                  <c:v>0.41743690352401425</c:v>
                </c:pt>
                <c:pt idx="5">
                  <c:v>0.40217372160478482</c:v>
                </c:pt>
                <c:pt idx="6">
                  <c:v>0.38724878551781666</c:v>
                </c:pt>
                <c:pt idx="7">
                  <c:v>0.37265469891825337</c:v>
                </c:pt>
                <c:pt idx="8">
                  <c:v>0.35838422546944437</c:v>
                </c:pt>
                <c:pt idx="9">
                  <c:v>0.3444302854117674</c:v>
                </c:pt>
                <c:pt idx="10">
                  <c:v>0.33078595220448959</c:v>
                </c:pt>
                <c:pt idx="11">
                  <c:v>0.31744444923912046</c:v>
                </c:pt>
                <c:pt idx="12">
                  <c:v>0.30439914662274686</c:v>
                </c:pt>
                <c:pt idx="13">
                  <c:v>0.29164355802986625</c:v>
                </c:pt>
                <c:pt idx="14">
                  <c:v>0.27917133762127067</c:v>
                </c:pt>
              </c:numCache>
            </c:numRef>
          </c:val>
          <c:smooth val="0"/>
          <c:extLst>
            <c:ext xmlns:c16="http://schemas.microsoft.com/office/drawing/2014/chart" uri="{C3380CC4-5D6E-409C-BE32-E72D297353CC}">
              <c16:uniqueId val="{00000003-BC30-4FED-AE70-E2853B6BF9AA}"/>
            </c:ext>
          </c:extLst>
        </c:ser>
        <c:dLbls>
          <c:showLegendKey val="0"/>
          <c:showVal val="0"/>
          <c:showCatName val="0"/>
          <c:showSerName val="0"/>
          <c:showPercent val="0"/>
          <c:showBubbleSize val="0"/>
        </c:dLbls>
        <c:marker val="1"/>
        <c:smooth val="0"/>
        <c:axId val="413670992"/>
        <c:axId val="413668696"/>
      </c:lineChart>
      <c:catAx>
        <c:axId val="31693815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r>
                  <a:rPr lang="en-NZ" sz="1200"/>
                  <a:t>Year</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crossAx val="316938480"/>
        <c:crosses val="autoZero"/>
        <c:auto val="1"/>
        <c:lblAlgn val="ctr"/>
        <c:lblOffset val="100"/>
        <c:noMultiLvlLbl val="0"/>
      </c:catAx>
      <c:valAx>
        <c:axId val="3169384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dk1"/>
                    </a:solidFill>
                    <a:latin typeface="+mn-lt"/>
                    <a:ea typeface="+mn-ea"/>
                    <a:cs typeface="+mn-cs"/>
                  </a:defRPr>
                </a:pPr>
                <a:r>
                  <a:rPr lang="en-NZ" sz="1100"/>
                  <a:t>Value ($)</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n-US"/>
            </a:p>
          </c:txPr>
        </c:title>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en-US"/>
          </a:p>
        </c:txPr>
        <c:crossAx val="316938152"/>
        <c:crosses val="autoZero"/>
        <c:crossBetween val="between"/>
      </c:valAx>
      <c:valAx>
        <c:axId val="413668696"/>
        <c:scaling>
          <c:orientation val="minMax"/>
        </c:scaling>
        <c:delete val="0"/>
        <c:axPos val="r"/>
        <c:title>
          <c:tx>
            <c:rich>
              <a:bodyPr rot="0" spcFirstLastPara="1" vertOverflow="ellipsis" wrap="square" anchor="ctr" anchorCtr="1"/>
              <a:lstStyle/>
              <a:p>
                <a:pPr>
                  <a:defRPr sz="900" b="1" i="0" u="none" strike="noStrike" kern="1200" baseline="0">
                    <a:solidFill>
                      <a:schemeClr val="dk1"/>
                    </a:solidFill>
                    <a:latin typeface="+mn-lt"/>
                    <a:ea typeface="+mn-ea"/>
                    <a:cs typeface="+mn-cs"/>
                  </a:defRPr>
                </a:pPr>
                <a:r>
                  <a:rPr lang="en-NZ" sz="1200"/>
                  <a:t> %</a:t>
                </a:r>
              </a:p>
            </c:rich>
          </c:tx>
          <c:overlay val="0"/>
          <c:spPr>
            <a:noFill/>
            <a:ln>
              <a:noFill/>
            </a:ln>
            <a:effectLst/>
          </c:spPr>
          <c:txPr>
            <a:bodyPr rot="0" spcFirstLastPara="1" vertOverflow="ellipsis" wrap="square" anchor="ctr" anchorCtr="1"/>
            <a:lstStyle/>
            <a:p>
              <a:pPr>
                <a:defRPr sz="900" b="1" i="0" u="none" strike="noStrike" kern="1200" baseline="0">
                  <a:solidFill>
                    <a:schemeClr val="dk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en-US"/>
          </a:p>
        </c:txPr>
        <c:crossAx val="413670992"/>
        <c:crosses val="max"/>
        <c:crossBetween val="between"/>
      </c:valAx>
      <c:catAx>
        <c:axId val="413670992"/>
        <c:scaling>
          <c:orientation val="minMax"/>
        </c:scaling>
        <c:delete val="1"/>
        <c:axPos val="b"/>
        <c:majorTickMark val="out"/>
        <c:minorTickMark val="none"/>
        <c:tickLblPos val="nextTo"/>
        <c:crossAx val="4136686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NZ"/>
              <a:t>Part Purchase - Purchase Price, Loan Requirement, LVR %, DSR %</a:t>
            </a:r>
          </a:p>
        </c:rich>
      </c:tx>
      <c:overlay val="0"/>
      <c:spPr>
        <a:solidFill>
          <a:sysClr val="window" lastClr="FFFFFF"/>
        </a:solid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tx>
            <c:v>Estimated Purchase Price</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val>
            <c:numRef>
              <c:f>'AHM - Rent to Buy'!$F$105:$T$105</c:f>
              <c:numCache>
                <c:formatCode>"$"#,##0_);\("$"#,##0\)</c:formatCode>
                <c:ptCount val="15"/>
                <c:pt idx="0">
                  <c:v>663000</c:v>
                </c:pt>
                <c:pt idx="1">
                  <c:v>676260</c:v>
                </c:pt>
                <c:pt idx="2">
                  <c:v>689785.20000000007</c:v>
                </c:pt>
                <c:pt idx="3">
                  <c:v>703580.9040000001</c:v>
                </c:pt>
                <c:pt idx="4">
                  <c:v>717652.52208000014</c:v>
                </c:pt>
                <c:pt idx="5">
                  <c:v>732005.57252160017</c:v>
                </c:pt>
                <c:pt idx="6">
                  <c:v>746645.68397203216</c:v>
                </c:pt>
                <c:pt idx="7">
                  <c:v>761578.59765147278</c:v>
                </c:pt>
                <c:pt idx="8">
                  <c:v>776810.16960450227</c:v>
                </c:pt>
                <c:pt idx="9">
                  <c:v>792346.37299659231</c:v>
                </c:pt>
                <c:pt idx="10">
                  <c:v>808193.30045652413</c:v>
                </c:pt>
                <c:pt idx="11">
                  <c:v>824357.16646565462</c:v>
                </c:pt>
                <c:pt idx="12">
                  <c:v>840844.30979496776</c:v>
                </c:pt>
                <c:pt idx="13">
                  <c:v>857661.1959908671</c:v>
                </c:pt>
                <c:pt idx="14">
                  <c:v>874814.41991068446</c:v>
                </c:pt>
              </c:numCache>
            </c:numRef>
          </c:val>
          <c:extLst>
            <c:ext xmlns:c16="http://schemas.microsoft.com/office/drawing/2014/chart" uri="{C3380CC4-5D6E-409C-BE32-E72D297353CC}">
              <c16:uniqueId val="{00000000-7982-43B0-90C1-F773009460DD}"/>
            </c:ext>
          </c:extLst>
        </c:ser>
        <c:ser>
          <c:idx val="1"/>
          <c:order val="1"/>
          <c:tx>
            <c:v>Household/Whanau Loan Requirement </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val>
            <c:numRef>
              <c:f>'AHM - Rent to Buy'!$F$118:$T$118</c:f>
              <c:numCache>
                <c:formatCode>"$"#,##0_);\("$"#,##0\)</c:formatCode>
                <c:ptCount val="15"/>
                <c:pt idx="0">
                  <c:v>588659.56000000006</c:v>
                </c:pt>
                <c:pt idx="1">
                  <c:v>577152.3112</c:v>
                </c:pt>
                <c:pt idx="2">
                  <c:v>565474.9174240001</c:v>
                </c:pt>
                <c:pt idx="3">
                  <c:v>553623.97577248001</c:v>
                </c:pt>
                <c:pt idx="4">
                  <c:v>541596.01528792968</c:v>
                </c:pt>
                <c:pt idx="5">
                  <c:v>529387.49559368833</c:v>
                </c:pt>
                <c:pt idx="6">
                  <c:v>516994.80550556211</c:v>
                </c:pt>
                <c:pt idx="7">
                  <c:v>504414.26161567331</c:v>
                </c:pt>
                <c:pt idx="8">
                  <c:v>491642.10684798681</c:v>
                </c:pt>
                <c:pt idx="9">
                  <c:v>478674.50898494653</c:v>
                </c:pt>
                <c:pt idx="10">
                  <c:v>465507.5591646455</c:v>
                </c:pt>
                <c:pt idx="11">
                  <c:v>452137.27034793841</c:v>
                </c:pt>
                <c:pt idx="12">
                  <c:v>438559.5757548972</c:v>
                </c:pt>
                <c:pt idx="13">
                  <c:v>424770.32726999512</c:v>
                </c:pt>
                <c:pt idx="14">
                  <c:v>410765.29381539504</c:v>
                </c:pt>
              </c:numCache>
            </c:numRef>
          </c:val>
          <c:extLst>
            <c:ext xmlns:c16="http://schemas.microsoft.com/office/drawing/2014/chart" uri="{C3380CC4-5D6E-409C-BE32-E72D297353CC}">
              <c16:uniqueId val="{00000001-7982-43B0-90C1-F773009460DD}"/>
            </c:ext>
          </c:extLst>
        </c:ser>
        <c:dLbls>
          <c:showLegendKey val="0"/>
          <c:showVal val="0"/>
          <c:showCatName val="0"/>
          <c:showSerName val="0"/>
          <c:showPercent val="0"/>
          <c:showBubbleSize val="0"/>
        </c:dLbls>
        <c:gapWidth val="247"/>
        <c:axId val="316938152"/>
        <c:axId val="316938480"/>
      </c:barChart>
      <c:lineChart>
        <c:grouping val="standard"/>
        <c:varyColors val="0"/>
        <c:ser>
          <c:idx val="2"/>
          <c:order val="2"/>
          <c:tx>
            <c:v>LVR %</c:v>
          </c:tx>
          <c:spPr>
            <a:ln w="31750" cap="rnd">
              <a:solidFill>
                <a:srgbClr val="00B0F0"/>
              </a:solidFill>
              <a:round/>
            </a:ln>
            <a:effectLst/>
          </c:spPr>
          <c:marker>
            <c:symbol val="none"/>
          </c:marker>
          <c:val>
            <c:numRef>
              <c:f>'AHM - Rent to Buy'!$F$143:$T$143</c:f>
              <c:numCache>
                <c:formatCode>0%</c:formatCode>
                <c:ptCount val="15"/>
                <c:pt idx="0">
                  <c:v>0.85984079939668179</c:v>
                </c:pt>
                <c:pt idx="1">
                  <c:v>0.81680919912459704</c:v>
                </c:pt>
                <c:pt idx="2">
                  <c:v>0.7747300852207325</c:v>
                </c:pt>
                <c:pt idx="3">
                  <c:v>0.73358264953080654</c:v>
                </c:pt>
                <c:pt idx="4">
                  <c:v>0.6933465337065231</c:v>
                </c:pt>
                <c:pt idx="5">
                  <c:v>0.65400181956618075</c:v>
                </c:pt>
                <c:pt idx="6">
                  <c:v>0.61552901966036089</c:v>
                </c:pt>
                <c:pt idx="7">
                  <c:v>0.57790906803835962</c:v>
                </c:pt>
                <c:pt idx="8">
                  <c:v>0.54112331121111734</c:v>
                </c:pt>
                <c:pt idx="9">
                  <c:v>0.50515349930649145</c:v>
                </c:pt>
                <c:pt idx="10">
                  <c:v>0.46998177741280189</c:v>
                </c:pt>
                <c:pt idx="11">
                  <c:v>0.43559067710666882</c:v>
                </c:pt>
                <c:pt idx="12">
                  <c:v>0.40196310816124214</c:v>
                </c:pt>
                <c:pt idx="13">
                  <c:v>0.36908235043100623</c:v>
                </c:pt>
                <c:pt idx="14">
                  <c:v>0.33693204590942383</c:v>
                </c:pt>
              </c:numCache>
            </c:numRef>
          </c:val>
          <c:smooth val="0"/>
          <c:extLst>
            <c:ext xmlns:c16="http://schemas.microsoft.com/office/drawing/2014/chart" uri="{C3380CC4-5D6E-409C-BE32-E72D297353CC}">
              <c16:uniqueId val="{00000002-7982-43B0-90C1-F773009460DD}"/>
            </c:ext>
          </c:extLst>
        </c:ser>
        <c:ser>
          <c:idx val="3"/>
          <c:order val="3"/>
          <c:tx>
            <c:v>DSR %</c:v>
          </c:tx>
          <c:spPr>
            <a:ln w="31750" cap="rnd">
              <a:solidFill>
                <a:srgbClr val="FFCC00"/>
              </a:solidFill>
              <a:round/>
            </a:ln>
            <a:effectLst/>
          </c:spPr>
          <c:marker>
            <c:symbol val="none"/>
          </c:marker>
          <c:val>
            <c:numRef>
              <c:f>'AHM - Rent to Buy'!$F$144:$T$144</c:f>
              <c:numCache>
                <c:formatCode>0%</c:formatCode>
                <c:ptCount val="15"/>
                <c:pt idx="0">
                  <c:v>0.38504212720098413</c:v>
                </c:pt>
                <c:pt idx="1">
                  <c:v>0.36834867402489563</c:v>
                </c:pt>
                <c:pt idx="2">
                  <c:v>0.35202472341176577</c:v>
                </c:pt>
                <c:pt idx="3">
                  <c:v>0.33606220315542545</c:v>
                </c:pt>
                <c:pt idx="4">
                  <c:v>0.32045321554507905</c:v>
                </c:pt>
                <c:pt idx="5">
                  <c:v>0.30519003362584968</c:v>
                </c:pt>
                <c:pt idx="6">
                  <c:v>0.29026509753888136</c:v>
                </c:pt>
                <c:pt idx="7">
                  <c:v>0.27567101093931817</c:v>
                </c:pt>
                <c:pt idx="8">
                  <c:v>0.26140053749050918</c:v>
                </c:pt>
                <c:pt idx="9">
                  <c:v>0.24744659743283223</c:v>
                </c:pt>
                <c:pt idx="10">
                  <c:v>0.23380226422555433</c:v>
                </c:pt>
                <c:pt idx="11">
                  <c:v>0.22046076126018524</c:v>
                </c:pt>
                <c:pt idx="12">
                  <c:v>0.20741545864381164</c:v>
                </c:pt>
                <c:pt idx="13">
                  <c:v>0.19465987005093099</c:v>
                </c:pt>
                <c:pt idx="14">
                  <c:v>0.18218764964233541</c:v>
                </c:pt>
              </c:numCache>
            </c:numRef>
          </c:val>
          <c:smooth val="0"/>
          <c:extLst>
            <c:ext xmlns:c16="http://schemas.microsoft.com/office/drawing/2014/chart" uri="{C3380CC4-5D6E-409C-BE32-E72D297353CC}">
              <c16:uniqueId val="{00000003-7982-43B0-90C1-F773009460DD}"/>
            </c:ext>
          </c:extLst>
        </c:ser>
        <c:dLbls>
          <c:showLegendKey val="0"/>
          <c:showVal val="0"/>
          <c:showCatName val="0"/>
          <c:showSerName val="0"/>
          <c:showPercent val="0"/>
          <c:showBubbleSize val="0"/>
        </c:dLbls>
        <c:marker val="1"/>
        <c:smooth val="0"/>
        <c:axId val="413670992"/>
        <c:axId val="413668696"/>
      </c:lineChart>
      <c:catAx>
        <c:axId val="31693815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r>
                  <a:rPr lang="en-NZ" sz="1100"/>
                  <a:t>Year</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crossAx val="316938480"/>
        <c:crosses val="autoZero"/>
        <c:auto val="1"/>
        <c:lblAlgn val="ctr"/>
        <c:lblOffset val="100"/>
        <c:noMultiLvlLbl val="0"/>
      </c:catAx>
      <c:valAx>
        <c:axId val="3169384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NZ"/>
                  <a:t>Value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title>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crossAx val="316938152"/>
        <c:crosses val="autoZero"/>
        <c:crossBetween val="between"/>
      </c:valAx>
      <c:valAx>
        <c:axId val="413668696"/>
        <c:scaling>
          <c:orientation val="minMax"/>
        </c:scaling>
        <c:delete val="0"/>
        <c:axPos val="r"/>
        <c:title>
          <c:tx>
            <c:rich>
              <a:bodyPr rot="0" spcFirstLastPara="1" vertOverflow="ellipsis" wrap="square" anchor="ctr" anchorCtr="1"/>
              <a:lstStyle/>
              <a:p>
                <a:pPr>
                  <a:defRPr sz="900" b="1" i="0" u="none" strike="noStrike" kern="1200" baseline="0">
                    <a:solidFill>
                      <a:schemeClr val="dk1"/>
                    </a:solidFill>
                    <a:latin typeface="+mn-lt"/>
                    <a:ea typeface="+mn-ea"/>
                    <a:cs typeface="+mn-cs"/>
                  </a:defRPr>
                </a:pPr>
                <a:r>
                  <a:rPr lang="en-NZ"/>
                  <a:t> %</a:t>
                </a:r>
              </a:p>
            </c:rich>
          </c:tx>
          <c:overlay val="0"/>
          <c:spPr>
            <a:noFill/>
            <a:ln>
              <a:noFill/>
            </a:ln>
            <a:effectLst/>
          </c:spPr>
          <c:txPr>
            <a:bodyPr rot="0" spcFirstLastPara="1" vertOverflow="ellipsis" wrap="square" anchor="ctr" anchorCtr="1"/>
            <a:lstStyle/>
            <a:p>
              <a:pPr>
                <a:defRPr sz="900" b="1" i="0" u="none" strike="noStrike" kern="1200" baseline="0">
                  <a:solidFill>
                    <a:schemeClr val="dk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crossAx val="413670992"/>
        <c:crosses val="max"/>
        <c:crossBetween val="between"/>
      </c:valAx>
      <c:catAx>
        <c:axId val="413670992"/>
        <c:scaling>
          <c:orientation val="minMax"/>
        </c:scaling>
        <c:delete val="1"/>
        <c:axPos val="b"/>
        <c:majorTickMark val="none"/>
        <c:minorTickMark val="none"/>
        <c:tickLblPos val="nextTo"/>
        <c:crossAx val="4136686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2000" b="1"/>
              <a:t>Monthly Project</a:t>
            </a:r>
            <a:r>
              <a:rPr lang="en-NZ" sz="2000" b="1" baseline="0"/>
              <a:t> Cashflow</a:t>
            </a:r>
          </a:p>
          <a:p>
            <a:pPr>
              <a:defRPr/>
            </a:pPr>
            <a:r>
              <a:rPr lang="en-NZ" sz="1400" b="1" baseline="0"/>
              <a:t>Development, Construction and Sale periods </a:t>
            </a:r>
          </a:p>
        </c:rich>
      </c:tx>
      <c:layout>
        <c:manualLayout>
          <c:xMode val="edge"/>
          <c:yMode val="edge"/>
          <c:x val="0.40261518036976557"/>
          <c:y val="1.595744413512411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93054101744661"/>
          <c:y val="0.15347598202807242"/>
          <c:w val="0.8573678820599292"/>
          <c:h val="0.74312476723196252"/>
        </c:manualLayout>
      </c:layout>
      <c:barChart>
        <c:barDir val="col"/>
        <c:grouping val="clustered"/>
        <c:varyColors val="0"/>
        <c:ser>
          <c:idx val="0"/>
          <c:order val="0"/>
          <c:tx>
            <c:strRef>
              <c:f>'Detailed Feasibility'!$B$147</c:f>
              <c:strCache>
                <c:ptCount val="1"/>
                <c:pt idx="0">
                  <c:v>Total Construction and Development Costs</c:v>
                </c:pt>
              </c:strCache>
            </c:strRef>
          </c:tx>
          <c:spPr>
            <a:solidFill>
              <a:srgbClr val="FF0000"/>
            </a:solidFill>
            <a:ln>
              <a:solidFill>
                <a:srgbClr val="FF0000"/>
              </a:solidFill>
            </a:ln>
            <a:effectLst/>
          </c:spPr>
          <c:invertIfNegative val="0"/>
          <c:val>
            <c:numRef>
              <c:f>'Detailed Feasibility'!$F$147:$BM$147</c:f>
              <c:numCache>
                <c:formatCode>"$"#,##0;[Red]\("$"#,##0\)</c:formatCode>
                <c:ptCount val="60"/>
                <c:pt idx="0">
                  <c:v>-1010000</c:v>
                </c:pt>
                <c:pt idx="1">
                  <c:v>0</c:v>
                </c:pt>
                <c:pt idx="2">
                  <c:v>-73208.823529411762</c:v>
                </c:pt>
                <c:pt idx="3">
                  <c:v>-73208.823529411762</c:v>
                </c:pt>
                <c:pt idx="4">
                  <c:v>-73208.823529411762</c:v>
                </c:pt>
                <c:pt idx="5">
                  <c:v>-133208.82352941175</c:v>
                </c:pt>
                <c:pt idx="6">
                  <c:v>-133208.82352941175</c:v>
                </c:pt>
                <c:pt idx="7">
                  <c:v>-133208.82352941175</c:v>
                </c:pt>
                <c:pt idx="8">
                  <c:v>-133208.82352941175</c:v>
                </c:pt>
                <c:pt idx="9">
                  <c:v>-133208.82352941175</c:v>
                </c:pt>
                <c:pt idx="10">
                  <c:v>-133208.82352941175</c:v>
                </c:pt>
                <c:pt idx="11">
                  <c:v>-475708.82352941175</c:v>
                </c:pt>
                <c:pt idx="12">
                  <c:v>-73208.823529411762</c:v>
                </c:pt>
                <c:pt idx="13">
                  <c:v>-188208.82352941175</c:v>
                </c:pt>
                <c:pt idx="14">
                  <c:v>-73208.823529411762</c:v>
                </c:pt>
                <c:pt idx="15">
                  <c:v>-73208.823529411762</c:v>
                </c:pt>
                <c:pt idx="16">
                  <c:v>-188208.82352941175</c:v>
                </c:pt>
                <c:pt idx="17">
                  <c:v>-590708.82352941181</c:v>
                </c:pt>
                <c:pt idx="18">
                  <c:v>-73208.823529411762</c:v>
                </c:pt>
                <c:pt idx="19">
                  <c:v>0</c:v>
                </c:pt>
                <c:pt idx="20">
                  <c:v>-1073333.3333333333</c:v>
                </c:pt>
                <c:pt idx="21">
                  <c:v>0</c:v>
                </c:pt>
                <c:pt idx="22">
                  <c:v>0</c:v>
                </c:pt>
                <c:pt idx="23">
                  <c:v>-670833.33333333326</c:v>
                </c:pt>
                <c:pt idx="24">
                  <c:v>-670833.33333333326</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0473-4F5E-AA4F-042F67D73DA7}"/>
            </c:ext>
          </c:extLst>
        </c:ser>
        <c:ser>
          <c:idx val="1"/>
          <c:order val="1"/>
          <c:tx>
            <c:strRef>
              <c:f>'Detailed Feasibility'!$B$124</c:f>
              <c:strCache>
                <c:ptCount val="1"/>
                <c:pt idx="0">
                  <c:v>Total PHO Loan   </c:v>
                </c:pt>
              </c:strCache>
            </c:strRef>
          </c:tx>
          <c:spPr>
            <a:solidFill>
              <a:srgbClr val="00B0F0"/>
            </a:solidFill>
            <a:ln>
              <a:solidFill>
                <a:srgbClr val="00B0F0"/>
              </a:solidFill>
            </a:ln>
            <a:effectLst/>
          </c:spPr>
          <c:invertIfNegative val="0"/>
          <c:val>
            <c:numRef>
              <c:f>'Detailed Feasibility'!$F$124:$BM$124</c:f>
              <c:numCache>
                <c:formatCode>"$"#,##0;[Red]\("$"#,##0\)</c:formatCode>
                <c:ptCount val="60"/>
                <c:pt idx="0">
                  <c:v>926932.49999999988</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84431.874999999985</c:v>
                </c:pt>
                <c:pt idx="17">
                  <c:v>489792.08333333326</c:v>
                </c:pt>
                <c:pt idx="18">
                  <c:v>0</c:v>
                </c:pt>
                <c:pt idx="19">
                  <c:v>0</c:v>
                </c:pt>
                <c:pt idx="20">
                  <c:v>502954.99999999994</c:v>
                </c:pt>
                <c:pt idx="21">
                  <c:v>0</c:v>
                </c:pt>
                <c:pt idx="22">
                  <c:v>0</c:v>
                </c:pt>
                <c:pt idx="23">
                  <c:v>465284.37499999994</c:v>
                </c:pt>
                <c:pt idx="24">
                  <c:v>620379.16666666674</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2C21-42C6-99D6-1C559107AF53}"/>
            </c:ext>
          </c:extLst>
        </c:ser>
        <c:ser>
          <c:idx val="2"/>
          <c:order val="2"/>
          <c:tx>
            <c:strRef>
              <c:f>'Detailed Feasibility'!$B$131</c:f>
              <c:strCache>
                <c:ptCount val="1"/>
                <c:pt idx="0">
                  <c:v>Total Other Funding</c:v>
                </c:pt>
              </c:strCache>
            </c:strRef>
          </c:tx>
          <c:spPr>
            <a:solidFill>
              <a:srgbClr val="00B050"/>
            </a:solidFill>
            <a:ln>
              <a:solidFill>
                <a:srgbClr val="00B050"/>
              </a:solidFill>
            </a:ln>
            <a:effectLst/>
          </c:spPr>
          <c:invertIfNegative val="0"/>
          <c:val>
            <c:numRef>
              <c:f>'Detailed Feasibility'!$F$131:$BM$131</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2C21-42C6-99D6-1C559107AF53}"/>
            </c:ext>
          </c:extLst>
        </c:ser>
        <c:dLbls>
          <c:showLegendKey val="0"/>
          <c:showVal val="0"/>
          <c:showCatName val="0"/>
          <c:showSerName val="0"/>
          <c:showPercent val="0"/>
          <c:showBubbleSize val="0"/>
        </c:dLbls>
        <c:gapWidth val="150"/>
        <c:axId val="114825992"/>
        <c:axId val="114826648"/>
      </c:barChart>
      <c:lineChart>
        <c:grouping val="standard"/>
        <c:varyColors val="0"/>
        <c:ser>
          <c:idx val="3"/>
          <c:order val="3"/>
          <c:tx>
            <c:strRef>
              <c:f>'Detailed Feasibility'!$B$149</c:f>
              <c:strCache>
                <c:ptCount val="1"/>
                <c:pt idx="0">
                  <c:v>Cumulative Project Surplus/Deficit</c:v>
                </c:pt>
              </c:strCache>
            </c:strRef>
          </c:tx>
          <c:spPr>
            <a:ln w="28575" cap="rnd">
              <a:solidFill>
                <a:srgbClr val="FFCC00"/>
              </a:solidFill>
              <a:round/>
            </a:ln>
            <a:effectLst/>
          </c:spPr>
          <c:marker>
            <c:symbol val="none"/>
          </c:marker>
          <c:val>
            <c:numRef>
              <c:f>'Detailed Feasibility'!$F$149:$BM$149</c:f>
              <c:numCache>
                <c:formatCode>"$"#,##0;[Red]\("$"#,##0\)</c:formatCode>
                <c:ptCount val="60"/>
                <c:pt idx="0">
                  <c:v>-83067.500000000116</c:v>
                </c:pt>
                <c:pt idx="1">
                  <c:v>-83067.500000000116</c:v>
                </c:pt>
                <c:pt idx="2">
                  <c:v>-156276.32352941186</c:v>
                </c:pt>
                <c:pt idx="3">
                  <c:v>-229485.14705882361</c:v>
                </c:pt>
                <c:pt idx="4">
                  <c:v>-302693.97058823536</c:v>
                </c:pt>
                <c:pt idx="5">
                  <c:v>-435902.79411764711</c:v>
                </c:pt>
                <c:pt idx="6">
                  <c:v>-569111.6176470588</c:v>
                </c:pt>
                <c:pt idx="7">
                  <c:v>-702320.4411764706</c:v>
                </c:pt>
                <c:pt idx="8">
                  <c:v>-835529.26470588241</c:v>
                </c:pt>
                <c:pt idx="9">
                  <c:v>-968738.08823529421</c:v>
                </c:pt>
                <c:pt idx="10">
                  <c:v>-1101946.911764706</c:v>
                </c:pt>
                <c:pt idx="11">
                  <c:v>-1577655.7352941178</c:v>
                </c:pt>
                <c:pt idx="12">
                  <c:v>-1650864.5588235296</c:v>
                </c:pt>
                <c:pt idx="13">
                  <c:v>-1839073.3823529414</c:v>
                </c:pt>
                <c:pt idx="14">
                  <c:v>-1912282.2058823532</c:v>
                </c:pt>
                <c:pt idx="15">
                  <c:v>-1985491.029411765</c:v>
                </c:pt>
                <c:pt idx="16">
                  <c:v>-2089267.9779411769</c:v>
                </c:pt>
                <c:pt idx="17">
                  <c:v>-2190184.7181372554</c:v>
                </c:pt>
                <c:pt idx="18">
                  <c:v>-2263393.541666667</c:v>
                </c:pt>
                <c:pt idx="19">
                  <c:v>-2263393.541666667</c:v>
                </c:pt>
                <c:pt idx="20">
                  <c:v>-2833771.875</c:v>
                </c:pt>
                <c:pt idx="21">
                  <c:v>-2833771.875</c:v>
                </c:pt>
                <c:pt idx="22">
                  <c:v>-2833771.875</c:v>
                </c:pt>
                <c:pt idx="23">
                  <c:v>-3039320.8333333335</c:v>
                </c:pt>
                <c:pt idx="24">
                  <c:v>-3089775</c:v>
                </c:pt>
                <c:pt idx="25">
                  <c:v>-3089775</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2C21-42C6-99D6-1C559107AF53}"/>
            </c:ext>
          </c:extLst>
        </c:ser>
        <c:dLbls>
          <c:showLegendKey val="0"/>
          <c:showVal val="0"/>
          <c:showCatName val="0"/>
          <c:showSerName val="0"/>
          <c:showPercent val="0"/>
          <c:showBubbleSize val="0"/>
        </c:dLbls>
        <c:marker val="1"/>
        <c:smooth val="0"/>
        <c:axId val="114825992"/>
        <c:axId val="114826648"/>
      </c:lineChart>
      <c:catAx>
        <c:axId val="1148259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a:t>Month</a:t>
                </a:r>
              </a:p>
            </c:rich>
          </c:tx>
          <c:layout>
            <c:manualLayout>
              <c:xMode val="edge"/>
              <c:yMode val="edge"/>
              <c:x val="0.44464981443498258"/>
              <c:y val="0.887026321489977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26648"/>
        <c:crosses val="autoZero"/>
        <c:auto val="1"/>
        <c:lblAlgn val="ctr"/>
        <c:lblOffset val="100"/>
        <c:noMultiLvlLbl val="0"/>
      </c:catAx>
      <c:valAx>
        <c:axId val="114826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a:t>Quantum $</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quot;$&quot;#,##0;[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25992"/>
        <c:crosses val="autoZero"/>
        <c:crossBetween val="between"/>
      </c:valAx>
      <c:spPr>
        <a:noFill/>
        <a:ln>
          <a:noFill/>
        </a:ln>
        <a:effectLst/>
      </c:spPr>
    </c:plotArea>
    <c:legend>
      <c:legendPos val="b"/>
      <c:layout>
        <c:manualLayout>
          <c:xMode val="edge"/>
          <c:yMode val="edge"/>
          <c:x val="0.16166444216071313"/>
          <c:y val="0.94601885642170269"/>
          <c:w val="0.708717290316346"/>
          <c:h val="5.39811435782972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416719</xdr:colOff>
      <xdr:row>8</xdr:row>
      <xdr:rowOff>99218</xdr:rowOff>
    </xdr:from>
    <xdr:to>
      <xdr:col>8</xdr:col>
      <xdr:colOff>4612482</xdr:colOff>
      <xdr:row>12</xdr:row>
      <xdr:rowOff>56886</xdr:rowOff>
    </xdr:to>
    <xdr:sp macro="" textlink="">
      <xdr:nvSpPr>
        <xdr:cNvPr id="2" name="TextBox 1">
          <a:extLst>
            <a:ext uri="{FF2B5EF4-FFF2-40B4-BE49-F238E27FC236}">
              <a16:creationId xmlns:a16="http://schemas.microsoft.com/office/drawing/2014/main" id="{0A056053-582E-4126-B1EF-EE3B6E57156D}"/>
            </a:ext>
          </a:extLst>
        </xdr:cNvPr>
        <xdr:cNvSpPr txBox="1"/>
      </xdr:nvSpPr>
      <xdr:spPr>
        <a:xfrm>
          <a:off x="8715375" y="1682749"/>
          <a:ext cx="5648326" cy="719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1">
              <a:solidFill>
                <a:schemeClr val="dk1"/>
              </a:solidFill>
              <a:effectLst/>
              <a:latin typeface="+mn-lt"/>
              <a:ea typeface="+mn-ea"/>
              <a:cs typeface="+mn-cs"/>
            </a:rPr>
            <a:t>Disclaimer </a:t>
          </a:r>
          <a:r>
            <a:rPr lang="en-NZ" sz="900">
              <a:solidFill>
                <a:schemeClr val="dk1"/>
              </a:solidFill>
              <a:effectLst/>
              <a:latin typeface="+mn-lt"/>
              <a:ea typeface="+mn-ea"/>
              <a:cs typeface="+mn-cs"/>
            </a:rPr>
            <a:t>: The ‘</a:t>
          </a:r>
          <a:r>
            <a:rPr lang="en-NZ" sz="900" i="1">
              <a:solidFill>
                <a:schemeClr val="dk1"/>
              </a:solidFill>
              <a:effectLst/>
              <a:latin typeface="+mn-lt"/>
              <a:ea typeface="+mn-ea"/>
              <a:cs typeface="+mn-cs"/>
            </a:rPr>
            <a:t>Model</a:t>
          </a:r>
          <a:r>
            <a:rPr lang="en-NZ" sz="900">
              <a:solidFill>
                <a:schemeClr val="dk1"/>
              </a:solidFill>
              <a:effectLst/>
              <a:latin typeface="+mn-lt"/>
              <a:ea typeface="+mn-ea"/>
              <a:cs typeface="+mn-cs"/>
            </a:rPr>
            <a:t>’ is provided to you strictly on the basis that it is for HUD internal assessment purposes only and must not be relied upon by you or any other recipient in any way or for any purpose.  You must make your own independent financial assessment and due diligence and satisfy yourself as to all and any matters relevant to the Progressive Home Ownership project you are submitting a funding application for.</a:t>
          </a:r>
          <a:endParaRPr lang="en-NZ" sz="900">
            <a:effectLst/>
          </a:endParaRPr>
        </a:p>
        <a:p>
          <a:endParaRPr lang="en-NZ" sz="1100"/>
        </a:p>
      </xdr:txBody>
    </xdr:sp>
    <xdr:clientData/>
  </xdr:twoCellAnchor>
  <xdr:twoCellAnchor editAs="oneCell">
    <xdr:from>
      <xdr:col>1</xdr:col>
      <xdr:colOff>291042</xdr:colOff>
      <xdr:row>8</xdr:row>
      <xdr:rowOff>95250</xdr:rowOff>
    </xdr:from>
    <xdr:to>
      <xdr:col>3</xdr:col>
      <xdr:colOff>342901</xdr:colOff>
      <xdr:row>12</xdr:row>
      <xdr:rowOff>123825</xdr:rowOff>
    </xdr:to>
    <xdr:pic>
      <xdr:nvPicPr>
        <xdr:cNvPr id="3" name="Picture 2">
          <a:extLst>
            <a:ext uri="{FF2B5EF4-FFF2-40B4-BE49-F238E27FC236}">
              <a16:creationId xmlns:a16="http://schemas.microsoft.com/office/drawing/2014/main" id="{76A0BDB2-F744-431E-95A0-7A0887542AFF}"/>
            </a:ext>
          </a:extLst>
        </xdr:cNvPr>
        <xdr:cNvPicPr>
          <a:picLocks noChangeAspect="1"/>
        </xdr:cNvPicPr>
      </xdr:nvPicPr>
      <xdr:blipFill>
        <a:blip xmlns:r="http://schemas.openxmlformats.org/officeDocument/2006/relationships" r:embed="rId1"/>
        <a:stretch>
          <a:fillRect/>
        </a:stretch>
      </xdr:blipFill>
      <xdr:spPr>
        <a:xfrm>
          <a:off x="936625" y="1640417"/>
          <a:ext cx="3073402" cy="748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173230</xdr:colOff>
      <xdr:row>10</xdr:row>
      <xdr:rowOff>61517</xdr:rowOff>
    </xdr:from>
    <xdr:to>
      <xdr:col>9</xdr:col>
      <xdr:colOff>285100</xdr:colOff>
      <xdr:row>14</xdr:row>
      <xdr:rowOff>115378</xdr:rowOff>
    </xdr:to>
    <xdr:pic>
      <xdr:nvPicPr>
        <xdr:cNvPr id="5" name="Picture 4">
          <a:extLst>
            <a:ext uri="{FF2B5EF4-FFF2-40B4-BE49-F238E27FC236}">
              <a16:creationId xmlns:a16="http://schemas.microsoft.com/office/drawing/2014/main" id="{3805F93A-FDDD-436A-ABAC-F72E9B92106D}"/>
            </a:ext>
          </a:extLst>
        </xdr:cNvPr>
        <xdr:cNvPicPr>
          <a:picLocks noChangeAspect="1"/>
        </xdr:cNvPicPr>
      </xdr:nvPicPr>
      <xdr:blipFill>
        <a:blip xmlns:r="http://schemas.openxmlformats.org/officeDocument/2006/relationships" r:embed="rId1"/>
        <a:stretch>
          <a:fillRect/>
        </a:stretch>
      </xdr:blipFill>
      <xdr:spPr>
        <a:xfrm>
          <a:off x="11067449" y="2049861"/>
          <a:ext cx="3164974" cy="875392"/>
        </a:xfrm>
        <a:prstGeom prst="rect">
          <a:avLst/>
        </a:prstGeom>
      </xdr:spPr>
    </xdr:pic>
    <xdr:clientData/>
  </xdr:twoCellAnchor>
  <xdr:twoCellAnchor>
    <xdr:from>
      <xdr:col>1</xdr:col>
      <xdr:colOff>0</xdr:colOff>
      <xdr:row>145</xdr:row>
      <xdr:rowOff>184830</xdr:rowOff>
    </xdr:from>
    <xdr:to>
      <xdr:col>4</xdr:col>
      <xdr:colOff>1285875</xdr:colOff>
      <xdr:row>169</xdr:row>
      <xdr:rowOff>171450</xdr:rowOff>
    </xdr:to>
    <xdr:graphicFrame macro="">
      <xdr:nvGraphicFramePr>
        <xdr:cNvPr id="6" name="Chart 5">
          <a:extLst>
            <a:ext uri="{FF2B5EF4-FFF2-40B4-BE49-F238E27FC236}">
              <a16:creationId xmlns:a16="http://schemas.microsoft.com/office/drawing/2014/main" id="{1CFAF83D-3775-4E1F-AA4F-68A0D8423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19051</xdr:colOff>
      <xdr:row>146</xdr:row>
      <xdr:rowOff>2</xdr:rowOff>
    </xdr:from>
    <xdr:to>
      <xdr:col>15</xdr:col>
      <xdr:colOff>1301751</xdr:colOff>
      <xdr:row>170</xdr:row>
      <xdr:rowOff>0</xdr:rowOff>
    </xdr:to>
    <xdr:graphicFrame macro="">
      <xdr:nvGraphicFramePr>
        <xdr:cNvPr id="7" name="Chart 6">
          <a:extLst>
            <a:ext uri="{FF2B5EF4-FFF2-40B4-BE49-F238E27FC236}">
              <a16:creationId xmlns:a16="http://schemas.microsoft.com/office/drawing/2014/main" id="{5A107085-331B-40B6-9712-A998602B8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1370012</xdr:colOff>
      <xdr:row>5</xdr:row>
      <xdr:rowOff>26523</xdr:rowOff>
    </xdr:from>
    <xdr:to>
      <xdr:col>7</xdr:col>
      <xdr:colOff>1163785</xdr:colOff>
      <xdr:row>9</xdr:row>
      <xdr:rowOff>47999</xdr:rowOff>
    </xdr:to>
    <xdr:pic>
      <xdr:nvPicPr>
        <xdr:cNvPr id="2" name="Picture 1">
          <a:extLst>
            <a:ext uri="{FF2B5EF4-FFF2-40B4-BE49-F238E27FC236}">
              <a16:creationId xmlns:a16="http://schemas.microsoft.com/office/drawing/2014/main" id="{CFF0E5C6-7385-4A4A-B4F4-FDDEE5E06B59}"/>
            </a:ext>
          </a:extLst>
        </xdr:cNvPr>
        <xdr:cNvPicPr>
          <a:picLocks noChangeAspect="1"/>
        </xdr:cNvPicPr>
      </xdr:nvPicPr>
      <xdr:blipFill>
        <a:blip xmlns:r="http://schemas.openxmlformats.org/officeDocument/2006/relationships" r:embed="rId1"/>
        <a:stretch>
          <a:fillRect/>
        </a:stretch>
      </xdr:blipFill>
      <xdr:spPr>
        <a:xfrm>
          <a:off x="16260762" y="1090148"/>
          <a:ext cx="2975124" cy="7199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382740</xdr:colOff>
      <xdr:row>6</xdr:row>
      <xdr:rowOff>36737</xdr:rowOff>
    </xdr:from>
    <xdr:ext cx="2296809" cy="665726"/>
    <xdr:pic>
      <xdr:nvPicPr>
        <xdr:cNvPr id="2" name="Picture 1">
          <a:extLst>
            <a:ext uri="{FF2B5EF4-FFF2-40B4-BE49-F238E27FC236}">
              <a16:creationId xmlns:a16="http://schemas.microsoft.com/office/drawing/2014/main" id="{C84DC9F0-AEFC-4172-8D68-76263B97B609}"/>
            </a:ext>
          </a:extLst>
        </xdr:cNvPr>
        <xdr:cNvPicPr>
          <a:picLocks noChangeAspect="1"/>
        </xdr:cNvPicPr>
      </xdr:nvPicPr>
      <xdr:blipFill>
        <a:blip xmlns:r="http://schemas.openxmlformats.org/officeDocument/2006/relationships" r:embed="rId1"/>
        <a:stretch>
          <a:fillRect/>
        </a:stretch>
      </xdr:blipFill>
      <xdr:spPr>
        <a:xfrm>
          <a:off x="16629669" y="1098094"/>
          <a:ext cx="2296809" cy="6657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98128</xdr:colOff>
      <xdr:row>5</xdr:row>
      <xdr:rowOff>77861</xdr:rowOff>
    </xdr:from>
    <xdr:ext cx="2517792" cy="729778"/>
    <xdr:pic>
      <xdr:nvPicPr>
        <xdr:cNvPr id="5" name="Picture 1">
          <a:extLst>
            <a:ext uri="{FF2B5EF4-FFF2-40B4-BE49-F238E27FC236}">
              <a16:creationId xmlns:a16="http://schemas.microsoft.com/office/drawing/2014/main" id="{5753114A-527D-4A6C-B961-F362ADAC6413}"/>
            </a:ext>
          </a:extLst>
        </xdr:cNvPr>
        <xdr:cNvPicPr>
          <a:picLocks noChangeAspect="1"/>
        </xdr:cNvPicPr>
      </xdr:nvPicPr>
      <xdr:blipFill>
        <a:blip xmlns:r="http://schemas.openxmlformats.org/officeDocument/2006/relationships" r:embed="rId1"/>
        <a:stretch>
          <a:fillRect/>
        </a:stretch>
      </xdr:blipFill>
      <xdr:spPr>
        <a:xfrm>
          <a:off x="11915082" y="994642"/>
          <a:ext cx="2517792" cy="72977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14553</xdr:colOff>
      <xdr:row>21</xdr:row>
      <xdr:rowOff>22489</xdr:rowOff>
    </xdr:from>
    <xdr:to>
      <xdr:col>9</xdr:col>
      <xdr:colOff>1833562</xdr:colOff>
      <xdr:row>42</xdr:row>
      <xdr:rowOff>1323</xdr:rowOff>
    </xdr:to>
    <xdr:graphicFrame macro="">
      <xdr:nvGraphicFramePr>
        <xdr:cNvPr id="9" name="Chart 3">
          <a:extLst>
            <a:ext uri="{FF2B5EF4-FFF2-40B4-BE49-F238E27FC236}">
              <a16:creationId xmlns:a16="http://schemas.microsoft.com/office/drawing/2014/main" id="{7543E301-E636-460E-88C2-4CD0E6239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338602</xdr:colOff>
      <xdr:row>6</xdr:row>
      <xdr:rowOff>0</xdr:rowOff>
    </xdr:from>
    <xdr:ext cx="2238723" cy="648890"/>
    <xdr:pic>
      <xdr:nvPicPr>
        <xdr:cNvPr id="3" name="Picture 1">
          <a:extLst>
            <a:ext uri="{FF2B5EF4-FFF2-40B4-BE49-F238E27FC236}">
              <a16:creationId xmlns:a16="http://schemas.microsoft.com/office/drawing/2014/main" id="{4ED0933A-3AEA-4A45-A697-9BA8CABFDE46}"/>
            </a:ext>
          </a:extLst>
        </xdr:cNvPr>
        <xdr:cNvPicPr>
          <a:picLocks noChangeAspect="1"/>
        </xdr:cNvPicPr>
      </xdr:nvPicPr>
      <xdr:blipFill>
        <a:blip xmlns:r="http://schemas.openxmlformats.org/officeDocument/2006/relationships" r:embed="rId2"/>
        <a:stretch>
          <a:fillRect/>
        </a:stretch>
      </xdr:blipFill>
      <xdr:spPr>
        <a:xfrm>
          <a:off x="12232946" y="1178719"/>
          <a:ext cx="2238723" cy="648890"/>
        </a:xfrm>
        <a:prstGeom prst="rect">
          <a:avLst/>
        </a:prstGeom>
      </xdr:spPr>
    </xdr:pic>
    <xdr:clientData/>
  </xdr:oneCellAnchor>
</xdr:wsDr>
</file>

<file path=xl/theme/theme1.xml><?xml version="1.0" encoding="utf-8"?>
<a:theme xmlns:a="http://schemas.openxmlformats.org/drawingml/2006/main" name="Office Theme">
  <a:themeElements>
    <a:clrScheme name="TPG Coulours">
      <a:dk1>
        <a:sysClr val="windowText" lastClr="000000"/>
      </a:dk1>
      <a:lt1>
        <a:srgbClr val="FFFFFF"/>
      </a:lt1>
      <a:dk2>
        <a:srgbClr val="353F48"/>
      </a:dk2>
      <a:lt2>
        <a:srgbClr val="EBEBEB"/>
      </a:lt2>
      <a:accent1>
        <a:srgbClr val="67AD96"/>
      </a:accent1>
      <a:accent2>
        <a:srgbClr val="353F48"/>
      </a:accent2>
      <a:accent3>
        <a:srgbClr val="98999B"/>
      </a:accent3>
      <a:accent4>
        <a:srgbClr val="ADD3C6"/>
      </a:accent4>
      <a:accent5>
        <a:srgbClr val="B6C0CA"/>
      </a:accent5>
      <a:accent6>
        <a:srgbClr val="ADD3C6"/>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D35B-3910-4BDF-8FBC-0D9512D229FA}">
  <sheetPr>
    <tabColor theme="0"/>
  </sheetPr>
  <dimension ref="A1:AW236"/>
  <sheetViews>
    <sheetView zoomScale="70" zoomScaleNormal="70" workbookViewId="0">
      <selection activeCell="J19" sqref="J19"/>
    </sheetView>
  </sheetViews>
  <sheetFormatPr defaultRowHeight="15" x14ac:dyDescent="0.25"/>
  <cols>
    <col min="2" max="2" width="18.85546875" customWidth="1"/>
    <col min="3" max="3" width="23.42578125" customWidth="1"/>
    <col min="4" max="4" width="11.28515625" customWidth="1"/>
    <col min="5" max="5" width="8.7109375" customWidth="1"/>
    <col min="7" max="7" width="44" customWidth="1"/>
    <col min="8" max="8" width="21.85546875" customWidth="1"/>
    <col min="9" max="9" width="72.5703125" customWidth="1"/>
    <col min="10" max="19" width="9.140625" style="1"/>
    <col min="20" max="20" width="67.7109375" style="1" customWidth="1"/>
    <col min="21" max="21" width="66.140625" style="1" customWidth="1"/>
    <col min="22" max="49" width="9.140625" style="1"/>
  </cols>
  <sheetData>
    <row r="1" spans="1:10" x14ac:dyDescent="0.25">
      <c r="A1" s="1"/>
      <c r="B1" s="1"/>
      <c r="C1" s="1"/>
      <c r="D1" s="1"/>
      <c r="E1" s="1"/>
      <c r="F1" s="1"/>
      <c r="G1" s="1"/>
      <c r="H1" s="1"/>
      <c r="I1" s="1"/>
    </row>
    <row r="2" spans="1:10" x14ac:dyDescent="0.25">
      <c r="A2" s="1"/>
      <c r="B2" s="1"/>
      <c r="C2" s="1"/>
      <c r="D2" s="1"/>
      <c r="E2" s="1"/>
      <c r="F2" s="1"/>
      <c r="G2" s="1"/>
      <c r="H2" s="1"/>
      <c r="I2" s="1"/>
    </row>
    <row r="3" spans="1:10" x14ac:dyDescent="0.25">
      <c r="A3" s="1"/>
      <c r="B3" s="337" t="s">
        <v>0</v>
      </c>
      <c r="C3" s="337" t="s">
        <v>492</v>
      </c>
      <c r="D3" s="338"/>
      <c r="E3" s="337"/>
      <c r="F3" s="338"/>
      <c r="G3" s="338"/>
      <c r="H3" s="338"/>
      <c r="I3" s="338"/>
    </row>
    <row r="4" spans="1:10" ht="15.75" customHeight="1" x14ac:dyDescent="0.25">
      <c r="A4" s="1"/>
      <c r="B4" s="740" t="s">
        <v>357</v>
      </c>
      <c r="C4" s="741"/>
      <c r="D4" s="741"/>
      <c r="E4" s="741"/>
      <c r="F4" s="741"/>
      <c r="G4" s="741"/>
      <c r="H4" s="741"/>
      <c r="I4" s="741"/>
    </row>
    <row r="5" spans="1:10" ht="15.75" customHeight="1" x14ac:dyDescent="0.25">
      <c r="A5" s="1"/>
      <c r="B5" s="741"/>
      <c r="C5" s="741"/>
      <c r="D5" s="741"/>
      <c r="E5" s="741"/>
      <c r="F5" s="741"/>
      <c r="G5" s="741"/>
      <c r="H5" s="741"/>
      <c r="I5" s="741"/>
    </row>
    <row r="6" spans="1:10" ht="15.75" customHeight="1" x14ac:dyDescent="0.25">
      <c r="A6" s="1"/>
      <c r="B6" s="741"/>
      <c r="C6" s="741"/>
      <c r="D6" s="741"/>
      <c r="E6" s="741"/>
      <c r="F6" s="741"/>
      <c r="G6" s="741"/>
      <c r="H6" s="741"/>
      <c r="I6" s="741"/>
    </row>
    <row r="7" spans="1:10" ht="15.75" customHeight="1" x14ac:dyDescent="0.25">
      <c r="A7" s="1"/>
      <c r="B7" s="741"/>
      <c r="C7" s="741"/>
      <c r="D7" s="741"/>
      <c r="E7" s="741"/>
      <c r="F7" s="741"/>
      <c r="G7" s="741"/>
      <c r="H7" s="741"/>
      <c r="I7" s="741"/>
    </row>
    <row r="8" spans="1:10" s="1" customFormat="1" ht="15.75" customHeight="1" x14ac:dyDescent="0.25">
      <c r="B8" s="339"/>
      <c r="C8" s="339"/>
      <c r="D8" s="339"/>
      <c r="E8" s="339"/>
      <c r="F8" s="339"/>
      <c r="G8" s="339"/>
      <c r="H8" s="339"/>
      <c r="I8" s="339"/>
    </row>
    <row r="9" spans="1:10" x14ac:dyDescent="0.25">
      <c r="A9" s="1"/>
      <c r="B9" s="4"/>
      <c r="C9" s="5"/>
      <c r="D9" s="5"/>
      <c r="E9" s="5"/>
      <c r="F9" s="5"/>
      <c r="G9" s="5"/>
      <c r="H9" s="5"/>
      <c r="I9" s="6"/>
    </row>
    <row r="10" spans="1:10" x14ac:dyDescent="0.25">
      <c r="A10" s="1"/>
      <c r="B10" s="2"/>
      <c r="C10" s="156"/>
      <c r="D10" s="156"/>
      <c r="E10" s="156"/>
      <c r="F10" s="156"/>
      <c r="G10" s="156"/>
      <c r="H10" s="156"/>
      <c r="I10" s="3"/>
    </row>
    <row r="11" spans="1:10" x14ac:dyDescent="0.25">
      <c r="A11" s="1"/>
      <c r="B11" s="2"/>
      <c r="C11" s="156"/>
      <c r="D11" s="156"/>
      <c r="E11" s="156"/>
      <c r="F11" s="156"/>
      <c r="G11" s="156"/>
      <c r="H11" s="156"/>
      <c r="I11" s="3"/>
    </row>
    <row r="12" spans="1:10" x14ac:dyDescent="0.25">
      <c r="A12" s="1"/>
      <c r="B12" s="2"/>
      <c r="C12" s="156"/>
      <c r="D12" s="156"/>
      <c r="E12" s="156"/>
      <c r="F12" s="156"/>
      <c r="G12" s="156"/>
      <c r="H12" s="156"/>
      <c r="I12" s="3"/>
    </row>
    <row r="13" spans="1:10" x14ac:dyDescent="0.25">
      <c r="A13" s="1"/>
      <c r="B13" s="2"/>
      <c r="C13" s="156"/>
      <c r="D13" s="156"/>
      <c r="E13" s="156"/>
      <c r="F13" s="156"/>
      <c r="G13" s="156"/>
      <c r="H13" s="156"/>
      <c r="I13" s="3"/>
    </row>
    <row r="14" spans="1:10" x14ac:dyDescent="0.25">
      <c r="A14" s="1"/>
      <c r="B14" s="737" t="s">
        <v>1</v>
      </c>
      <c r="C14" s="738"/>
      <c r="D14" s="738"/>
      <c r="E14" s="738"/>
      <c r="F14" s="738"/>
      <c r="G14" s="738"/>
      <c r="H14" s="738"/>
      <c r="I14" s="739"/>
      <c r="J14" s="156"/>
    </row>
    <row r="15" spans="1:10" x14ac:dyDescent="0.25">
      <c r="A15" s="1"/>
      <c r="B15" s="421"/>
      <c r="C15" s="351"/>
      <c r="D15" s="351"/>
      <c r="E15" s="351"/>
      <c r="F15" s="351"/>
      <c r="G15" s="351"/>
      <c r="H15" s="351"/>
      <c r="I15" s="107"/>
      <c r="J15" s="156"/>
    </row>
    <row r="16" spans="1:10" x14ac:dyDescent="0.25">
      <c r="A16" s="1"/>
      <c r="B16" s="300" t="s">
        <v>419</v>
      </c>
      <c r="C16" s="351"/>
      <c r="D16" s="351"/>
      <c r="E16" s="351"/>
      <c r="F16" s="351"/>
      <c r="G16" s="351"/>
      <c r="H16" s="351"/>
      <c r="I16" s="107"/>
      <c r="J16" s="156"/>
    </row>
    <row r="17" spans="1:10" x14ac:dyDescent="0.25">
      <c r="A17" s="1"/>
      <c r="B17" s="499" t="s">
        <v>486</v>
      </c>
      <c r="C17" s="351"/>
      <c r="D17" s="351"/>
      <c r="E17" s="351"/>
      <c r="F17" s="351"/>
      <c r="G17" s="351"/>
      <c r="H17" s="351"/>
      <c r="I17" s="107"/>
      <c r="J17" s="156"/>
    </row>
    <row r="18" spans="1:10" x14ac:dyDescent="0.25">
      <c r="A18" s="1"/>
      <c r="B18" s="300" t="s">
        <v>487</v>
      </c>
      <c r="C18" s="498"/>
      <c r="D18" s="498"/>
      <c r="E18" s="498"/>
      <c r="F18" s="498"/>
      <c r="G18" s="498"/>
      <c r="H18" s="498"/>
      <c r="I18" s="107"/>
      <c r="J18" s="156"/>
    </row>
    <row r="19" spans="1:10" x14ac:dyDescent="0.25">
      <c r="A19" s="1"/>
      <c r="B19" s="300" t="s">
        <v>420</v>
      </c>
      <c r="C19" s="555"/>
      <c r="D19" s="555"/>
      <c r="E19" s="555"/>
      <c r="F19" s="555"/>
      <c r="G19" s="555"/>
      <c r="H19" s="555"/>
      <c r="I19" s="107"/>
      <c r="J19" s="156"/>
    </row>
    <row r="20" spans="1:10" x14ac:dyDescent="0.25">
      <c r="A20" s="1"/>
      <c r="B20" s="300" t="s">
        <v>425</v>
      </c>
      <c r="C20" s="351"/>
      <c r="D20" s="351"/>
      <c r="E20" s="351"/>
      <c r="F20" s="351"/>
      <c r="G20" s="351"/>
      <c r="H20" s="351"/>
      <c r="I20" s="107"/>
      <c r="J20" s="156"/>
    </row>
    <row r="21" spans="1:10" x14ac:dyDescent="0.25">
      <c r="A21" s="1"/>
      <c r="B21" s="301"/>
      <c r="C21" s="32"/>
      <c r="D21" s="32"/>
      <c r="E21" s="32"/>
      <c r="F21" s="32"/>
      <c r="G21" s="32"/>
      <c r="H21" s="32"/>
      <c r="I21" s="295"/>
      <c r="J21" s="156"/>
    </row>
    <row r="22" spans="1:10" x14ac:dyDescent="0.25">
      <c r="A22" s="1"/>
      <c r="B22" s="742" t="s">
        <v>2</v>
      </c>
      <c r="C22" s="743"/>
      <c r="D22" s="743"/>
      <c r="E22" s="743"/>
      <c r="F22" s="743"/>
      <c r="G22" s="743"/>
      <c r="H22" s="743"/>
      <c r="I22" s="744"/>
      <c r="J22" s="156"/>
    </row>
    <row r="23" spans="1:10" x14ac:dyDescent="0.25">
      <c r="A23" s="1"/>
      <c r="B23" s="421"/>
      <c r="C23" s="351"/>
      <c r="D23" s="351"/>
      <c r="E23" s="351"/>
      <c r="F23" s="351"/>
      <c r="G23" s="351"/>
      <c r="H23" s="351"/>
      <c r="I23" s="107"/>
      <c r="J23" s="156"/>
    </row>
    <row r="24" spans="1:10" x14ac:dyDescent="0.25">
      <c r="A24" s="1"/>
      <c r="B24" s="9" t="s">
        <v>3</v>
      </c>
      <c r="C24" s="192"/>
      <c r="D24" s="192"/>
      <c r="E24" s="192" t="s">
        <v>4</v>
      </c>
      <c r="F24" s="192"/>
      <c r="G24" s="192"/>
      <c r="H24" s="192"/>
      <c r="I24" s="10" t="s">
        <v>5</v>
      </c>
      <c r="J24" s="156"/>
    </row>
    <row r="25" spans="1:10" x14ac:dyDescent="0.25">
      <c r="A25" s="1"/>
      <c r="B25" s="2"/>
      <c r="C25" s="156"/>
      <c r="D25" s="156"/>
      <c r="E25" s="156"/>
      <c r="F25" s="156"/>
      <c r="G25" s="156"/>
      <c r="H25" s="156"/>
      <c r="I25" s="8"/>
    </row>
    <row r="26" spans="1:10" x14ac:dyDescent="0.25">
      <c r="A26" s="1"/>
      <c r="B26" s="9" t="s">
        <v>6</v>
      </c>
      <c r="C26" s="192"/>
      <c r="D26" s="192"/>
      <c r="E26" s="192" t="s">
        <v>7</v>
      </c>
      <c r="F26" s="192"/>
      <c r="G26" s="192"/>
      <c r="H26" s="192"/>
      <c r="I26" s="552" t="s">
        <v>8</v>
      </c>
    </row>
    <row r="27" spans="1:10" x14ac:dyDescent="0.25">
      <c r="A27" s="1"/>
      <c r="B27" s="9"/>
      <c r="C27" s="192"/>
      <c r="D27" s="192"/>
      <c r="E27" s="192"/>
      <c r="F27" s="192"/>
      <c r="G27" s="192"/>
      <c r="H27" s="192"/>
      <c r="I27" s="10"/>
    </row>
    <row r="28" spans="1:10" x14ac:dyDescent="0.25">
      <c r="A28" s="1"/>
      <c r="B28" s="9" t="s">
        <v>9</v>
      </c>
      <c r="C28" s="192"/>
      <c r="D28" s="192"/>
      <c r="E28" s="192" t="s">
        <v>10</v>
      </c>
      <c r="F28" s="192"/>
      <c r="G28" s="192"/>
      <c r="H28" s="192"/>
      <c r="I28" s="10" t="s">
        <v>11</v>
      </c>
    </row>
    <row r="29" spans="1:10" ht="15.75" thickBot="1" x14ac:dyDescent="0.3">
      <c r="A29" s="1"/>
      <c r="B29" s="9"/>
      <c r="C29" s="192"/>
      <c r="D29" s="192"/>
      <c r="E29" s="192"/>
      <c r="F29" s="192"/>
      <c r="G29" s="192"/>
      <c r="H29" s="192"/>
      <c r="I29" s="10"/>
    </row>
    <row r="30" spans="1:10" ht="15.75" thickBot="1" x14ac:dyDescent="0.3">
      <c r="A30" s="1"/>
      <c r="B30" s="9" t="s">
        <v>179</v>
      </c>
      <c r="C30" s="192"/>
      <c r="D30" s="192"/>
      <c r="E30" s="192" t="s">
        <v>12</v>
      </c>
      <c r="F30" s="192"/>
      <c r="G30" s="192"/>
      <c r="H30" s="192"/>
      <c r="I30" s="299" t="s">
        <v>11</v>
      </c>
    </row>
    <row r="31" spans="1:10" x14ac:dyDescent="0.25">
      <c r="A31" s="1"/>
      <c r="B31" s="9"/>
      <c r="C31" s="192"/>
      <c r="D31" s="192"/>
      <c r="E31" s="192"/>
      <c r="F31" s="192"/>
      <c r="G31" s="192"/>
      <c r="H31" s="192"/>
      <c r="I31" s="10"/>
    </row>
    <row r="32" spans="1:10" x14ac:dyDescent="0.25">
      <c r="A32" s="1"/>
      <c r="B32" s="296" t="s">
        <v>13</v>
      </c>
      <c r="C32" s="297"/>
      <c r="D32" s="297"/>
      <c r="E32" s="297" t="s">
        <v>484</v>
      </c>
      <c r="F32" s="297"/>
      <c r="G32" s="297"/>
      <c r="H32" s="297"/>
      <c r="I32" s="298" t="s">
        <v>14</v>
      </c>
    </row>
    <row r="33" spans="1:9" s="1" customFormat="1" x14ac:dyDescent="0.25">
      <c r="B33" s="156"/>
      <c r="C33" s="156"/>
      <c r="D33" s="156"/>
      <c r="E33" s="156"/>
      <c r="F33" s="156"/>
      <c r="G33" s="156"/>
      <c r="H33" s="156"/>
      <c r="I33" s="309"/>
    </row>
    <row r="34" spans="1:9" x14ac:dyDescent="0.25">
      <c r="A34" s="1"/>
      <c r="B34" s="737" t="s">
        <v>295</v>
      </c>
      <c r="C34" s="738"/>
      <c r="D34" s="738"/>
      <c r="E34" s="738"/>
      <c r="F34" s="738"/>
      <c r="G34" s="738"/>
      <c r="H34" s="738"/>
      <c r="I34" s="739"/>
    </row>
    <row r="35" spans="1:9" x14ac:dyDescent="0.25">
      <c r="A35" s="1"/>
      <c r="B35" s="9" t="s">
        <v>15</v>
      </c>
      <c r="C35" s="156"/>
      <c r="D35" s="747"/>
      <c r="E35" s="747"/>
      <c r="F35" s="747"/>
      <c r="G35" s="546"/>
      <c r="H35" s="546"/>
      <c r="I35" s="547"/>
    </row>
    <row r="36" spans="1:9" x14ac:dyDescent="0.25">
      <c r="A36" s="1"/>
      <c r="B36" s="9" t="s">
        <v>485</v>
      </c>
      <c r="C36" s="156"/>
      <c r="D36" s="747"/>
      <c r="E36" s="747"/>
      <c r="F36" s="747"/>
      <c r="G36" s="546"/>
      <c r="H36" s="546"/>
      <c r="I36" s="547"/>
    </row>
    <row r="37" spans="1:9" x14ac:dyDescent="0.25">
      <c r="A37" s="1"/>
      <c r="B37" s="9" t="s">
        <v>16</v>
      </c>
      <c r="C37" s="156"/>
      <c r="D37" s="747"/>
      <c r="E37" s="747"/>
      <c r="F37" s="747"/>
      <c r="G37" s="546"/>
      <c r="H37" s="546"/>
      <c r="I37" s="547"/>
    </row>
    <row r="38" spans="1:9" x14ac:dyDescent="0.25">
      <c r="A38" s="1"/>
      <c r="B38" s="9" t="s">
        <v>17</v>
      </c>
      <c r="C38" s="156"/>
      <c r="D38" s="747"/>
      <c r="E38" s="747"/>
      <c r="F38" s="747"/>
      <c r="G38" s="546"/>
      <c r="H38" s="546"/>
      <c r="I38" s="547"/>
    </row>
    <row r="39" spans="1:9" x14ac:dyDescent="0.25">
      <c r="A39" s="1"/>
      <c r="B39" s="18" t="s">
        <v>18</v>
      </c>
      <c r="C39" s="12"/>
      <c r="D39" s="745"/>
      <c r="E39" s="745"/>
      <c r="F39" s="745"/>
      <c r="G39" s="745"/>
      <c r="H39" s="745"/>
      <c r="I39" s="746"/>
    </row>
    <row r="40" spans="1:9" s="1" customFormat="1" x14ac:dyDescent="0.25"/>
    <row r="41" spans="1:9" s="1" customFormat="1" x14ac:dyDescent="0.25">
      <c r="B41" s="737" t="s">
        <v>394</v>
      </c>
      <c r="C41" s="738"/>
      <c r="D41" s="738"/>
      <c r="E41" s="738"/>
      <c r="F41" s="738"/>
      <c r="G41" s="738"/>
      <c r="H41" s="738"/>
      <c r="I41" s="739"/>
    </row>
    <row r="42" spans="1:9" s="1" customFormat="1" x14ac:dyDescent="0.25">
      <c r="B42" s="548"/>
      <c r="C42" s="546"/>
      <c r="D42" s="546"/>
      <c r="E42" s="546"/>
      <c r="F42" s="546"/>
      <c r="G42" s="546"/>
      <c r="H42" s="546"/>
      <c r="I42" s="547"/>
    </row>
    <row r="43" spans="1:9" s="1" customFormat="1" x14ac:dyDescent="0.25">
      <c r="B43" s="548"/>
      <c r="C43" s="546"/>
      <c r="D43" s="546"/>
      <c r="E43" s="546"/>
      <c r="F43" s="546"/>
      <c r="G43" s="546"/>
      <c r="H43" s="546"/>
      <c r="I43" s="547"/>
    </row>
    <row r="44" spans="1:9" s="1" customFormat="1" x14ac:dyDescent="0.25">
      <c r="B44" s="548"/>
      <c r="C44" s="546" t="s">
        <v>418</v>
      </c>
      <c r="D44" s="546"/>
      <c r="E44" s="546"/>
      <c r="F44" s="546"/>
      <c r="G44" s="546"/>
      <c r="H44" s="546"/>
      <c r="I44" s="547"/>
    </row>
    <row r="45" spans="1:9" s="1" customFormat="1" x14ac:dyDescent="0.25">
      <c r="B45" s="548"/>
      <c r="C45" s="546"/>
      <c r="D45" s="546"/>
      <c r="E45" s="546"/>
      <c r="F45" s="546"/>
      <c r="G45" s="546"/>
      <c r="H45" s="546"/>
      <c r="I45" s="547"/>
    </row>
    <row r="46" spans="1:9" s="1" customFormat="1" x14ac:dyDescent="0.25">
      <c r="B46" s="548"/>
      <c r="C46" s="546"/>
      <c r="D46" s="546"/>
      <c r="E46" s="546"/>
      <c r="F46" s="546"/>
      <c r="G46" s="546"/>
      <c r="H46" s="546"/>
      <c r="I46" s="547"/>
    </row>
    <row r="47" spans="1:9" s="1" customFormat="1" x14ac:dyDescent="0.25">
      <c r="B47" s="548"/>
      <c r="C47" s="546"/>
      <c r="D47" s="546"/>
      <c r="E47" s="546"/>
      <c r="F47" s="546"/>
      <c r="G47" s="546"/>
      <c r="H47" s="546"/>
      <c r="I47" s="547"/>
    </row>
    <row r="48" spans="1:9" s="1" customFormat="1" x14ac:dyDescent="0.25">
      <c r="B48" s="548"/>
      <c r="C48" s="546"/>
      <c r="D48" s="546"/>
      <c r="E48" s="546"/>
      <c r="F48" s="546"/>
      <c r="G48" s="546"/>
      <c r="H48" s="546"/>
      <c r="I48" s="547"/>
    </row>
    <row r="49" spans="2:9" s="1" customFormat="1" x14ac:dyDescent="0.25">
      <c r="B49" s="548"/>
      <c r="C49" s="546"/>
      <c r="D49" s="546"/>
      <c r="E49" s="546"/>
      <c r="F49" s="546"/>
      <c r="G49" s="546"/>
      <c r="H49" s="546"/>
      <c r="I49" s="547"/>
    </row>
    <row r="50" spans="2:9" s="1" customFormat="1" x14ac:dyDescent="0.25">
      <c r="B50" s="548"/>
      <c r="C50" s="546"/>
      <c r="D50" s="546"/>
      <c r="E50" s="546"/>
      <c r="F50" s="546"/>
      <c r="G50" s="546"/>
      <c r="H50" s="546"/>
      <c r="I50" s="547"/>
    </row>
    <row r="51" spans="2:9" s="1" customFormat="1" x14ac:dyDescent="0.25">
      <c r="B51" s="548"/>
      <c r="C51" s="546"/>
      <c r="D51" s="546"/>
      <c r="E51" s="546"/>
      <c r="F51" s="546"/>
      <c r="G51" s="546"/>
      <c r="H51" s="546"/>
      <c r="I51" s="547"/>
    </row>
    <row r="52" spans="2:9" s="1" customFormat="1" x14ac:dyDescent="0.25">
      <c r="B52" s="548"/>
      <c r="C52" s="546"/>
      <c r="D52" s="546"/>
      <c r="E52" s="546"/>
      <c r="F52" s="546"/>
      <c r="G52" s="546"/>
      <c r="H52" s="546"/>
      <c r="I52" s="547"/>
    </row>
    <row r="53" spans="2:9" s="1" customFormat="1" x14ac:dyDescent="0.25">
      <c r="B53" s="548"/>
      <c r="C53" s="546"/>
      <c r="D53" s="546"/>
      <c r="E53" s="546"/>
      <c r="F53" s="546"/>
      <c r="G53" s="546"/>
      <c r="H53" s="546"/>
      <c r="I53" s="547"/>
    </row>
    <row r="54" spans="2:9" s="1" customFormat="1" x14ac:dyDescent="0.25">
      <c r="B54" s="548"/>
      <c r="C54" s="546"/>
      <c r="D54" s="546"/>
      <c r="E54" s="546"/>
      <c r="F54" s="546"/>
      <c r="G54" s="546"/>
      <c r="H54" s="546"/>
      <c r="I54" s="547"/>
    </row>
    <row r="55" spans="2:9" s="1" customFormat="1" x14ac:dyDescent="0.25">
      <c r="B55" s="548"/>
      <c r="C55" s="546"/>
      <c r="D55" s="546"/>
      <c r="E55" s="546"/>
      <c r="F55" s="546"/>
      <c r="G55" s="546"/>
      <c r="H55" s="546"/>
      <c r="I55" s="547"/>
    </row>
    <row r="56" spans="2:9" s="1" customFormat="1" x14ac:dyDescent="0.25">
      <c r="B56" s="548"/>
      <c r="C56" s="546"/>
      <c r="D56" s="546"/>
      <c r="E56" s="546"/>
      <c r="F56" s="546"/>
      <c r="G56" s="546"/>
      <c r="H56" s="546"/>
      <c r="I56" s="547"/>
    </row>
    <row r="57" spans="2:9" s="1" customFormat="1" x14ac:dyDescent="0.25">
      <c r="B57" s="548"/>
      <c r="C57" s="546"/>
      <c r="D57" s="546"/>
      <c r="E57" s="546"/>
      <c r="F57" s="546"/>
      <c r="G57" s="546"/>
      <c r="H57" s="546"/>
      <c r="I57" s="547"/>
    </row>
    <row r="58" spans="2:9" s="1" customFormat="1" x14ac:dyDescent="0.25">
      <c r="B58" s="548"/>
      <c r="C58" s="546"/>
      <c r="D58" s="546"/>
      <c r="E58" s="546"/>
      <c r="F58" s="546"/>
      <c r="G58" s="546"/>
      <c r="H58" s="546"/>
      <c r="I58" s="547"/>
    </row>
    <row r="59" spans="2:9" s="1" customFormat="1" x14ac:dyDescent="0.25">
      <c r="B59" s="548"/>
      <c r="C59" s="546"/>
      <c r="D59" s="546"/>
      <c r="E59" s="546"/>
      <c r="F59" s="546"/>
      <c r="G59" s="546"/>
      <c r="H59" s="546"/>
      <c r="I59" s="547"/>
    </row>
    <row r="60" spans="2:9" s="1" customFormat="1" x14ac:dyDescent="0.25">
      <c r="B60" s="548"/>
      <c r="C60" s="546"/>
      <c r="D60" s="546"/>
      <c r="E60" s="546"/>
      <c r="F60" s="546"/>
      <c r="G60" s="546"/>
      <c r="H60" s="546"/>
      <c r="I60" s="547"/>
    </row>
    <row r="61" spans="2:9" s="1" customFormat="1" x14ac:dyDescent="0.25">
      <c r="B61" s="548"/>
      <c r="C61" s="546"/>
      <c r="D61" s="546"/>
      <c r="E61" s="546"/>
      <c r="F61" s="546"/>
      <c r="G61" s="546"/>
      <c r="H61" s="546"/>
      <c r="I61" s="547"/>
    </row>
    <row r="62" spans="2:9" s="1" customFormat="1" x14ac:dyDescent="0.25">
      <c r="B62" s="548"/>
      <c r="C62" s="546"/>
      <c r="D62" s="546"/>
      <c r="E62" s="546"/>
      <c r="F62" s="546"/>
      <c r="G62" s="546"/>
      <c r="H62" s="546"/>
      <c r="I62" s="547"/>
    </row>
    <row r="63" spans="2:9" s="1" customFormat="1" x14ac:dyDescent="0.25">
      <c r="B63" s="548"/>
      <c r="C63" s="546"/>
      <c r="D63" s="546"/>
      <c r="E63" s="546"/>
      <c r="F63" s="546"/>
      <c r="G63" s="546"/>
      <c r="H63" s="546"/>
      <c r="I63" s="547"/>
    </row>
    <row r="64" spans="2:9" s="1" customFormat="1" x14ac:dyDescent="0.25">
      <c r="B64" s="548"/>
      <c r="C64" s="546"/>
      <c r="D64" s="546"/>
      <c r="E64" s="546"/>
      <c r="F64" s="546"/>
      <c r="G64" s="546"/>
      <c r="H64" s="546"/>
      <c r="I64" s="547"/>
    </row>
    <row r="65" spans="2:9" s="1" customFormat="1" x14ac:dyDescent="0.25">
      <c r="B65" s="548"/>
      <c r="C65" s="546"/>
      <c r="D65" s="546"/>
      <c r="E65" s="546"/>
      <c r="F65" s="546"/>
      <c r="G65" s="546"/>
      <c r="H65" s="546"/>
      <c r="I65" s="547"/>
    </row>
    <row r="66" spans="2:9" s="1" customFormat="1" x14ac:dyDescent="0.25">
      <c r="B66" s="548"/>
      <c r="C66" s="546"/>
      <c r="D66" s="546"/>
      <c r="E66" s="546"/>
      <c r="F66" s="546"/>
      <c r="G66" s="546"/>
      <c r="H66" s="546"/>
      <c r="I66" s="547"/>
    </row>
    <row r="67" spans="2:9" s="1" customFormat="1" x14ac:dyDescent="0.25">
      <c r="B67" s="548"/>
      <c r="C67" s="546"/>
      <c r="D67" s="546"/>
      <c r="E67" s="546"/>
      <c r="F67" s="546"/>
      <c r="G67" s="546"/>
      <c r="H67" s="546"/>
      <c r="I67" s="547"/>
    </row>
    <row r="68" spans="2:9" s="1" customFormat="1" x14ac:dyDescent="0.25">
      <c r="B68" s="548"/>
      <c r="C68" s="546"/>
      <c r="D68" s="546"/>
      <c r="E68" s="546"/>
      <c r="F68" s="546"/>
      <c r="G68" s="546"/>
      <c r="H68" s="546"/>
      <c r="I68" s="547"/>
    </row>
    <row r="69" spans="2:9" s="1" customFormat="1" x14ac:dyDescent="0.25">
      <c r="B69" s="548"/>
      <c r="C69" s="546"/>
      <c r="D69" s="546"/>
      <c r="E69" s="546"/>
      <c r="F69" s="546"/>
      <c r="G69" s="546"/>
      <c r="H69" s="546"/>
      <c r="I69" s="547"/>
    </row>
    <row r="70" spans="2:9" s="1" customFormat="1" x14ac:dyDescent="0.25">
      <c r="B70" s="548"/>
      <c r="C70" s="546"/>
      <c r="D70" s="546"/>
      <c r="E70" s="546"/>
      <c r="F70" s="546"/>
      <c r="G70" s="546"/>
      <c r="H70" s="546"/>
      <c r="I70" s="547"/>
    </row>
    <row r="71" spans="2:9" s="1" customFormat="1" x14ac:dyDescent="0.25">
      <c r="B71" s="549"/>
      <c r="C71" s="550"/>
      <c r="D71" s="550"/>
      <c r="E71" s="550"/>
      <c r="F71" s="550"/>
      <c r="G71" s="550"/>
      <c r="H71" s="550"/>
      <c r="I71" s="551"/>
    </row>
    <row r="72" spans="2:9" s="1" customFormat="1" x14ac:dyDescent="0.25"/>
    <row r="73" spans="2:9" s="1" customFormat="1" x14ac:dyDescent="0.25"/>
    <row r="74" spans="2:9" s="1" customFormat="1" x14ac:dyDescent="0.25"/>
    <row r="75" spans="2:9" s="1" customFormat="1" x14ac:dyDescent="0.25"/>
    <row r="76" spans="2:9" s="1" customFormat="1" x14ac:dyDescent="0.25"/>
    <row r="77" spans="2:9" s="1" customFormat="1" x14ac:dyDescent="0.25">
      <c r="B77" s="14"/>
    </row>
    <row r="78" spans="2:9" s="1" customFormat="1" x14ac:dyDescent="0.25">
      <c r="B78" s="15"/>
    </row>
    <row r="79" spans="2:9" s="1" customFormat="1" x14ac:dyDescent="0.25">
      <c r="B79" s="15"/>
    </row>
    <row r="80" spans="2:9" s="1" customFormat="1" x14ac:dyDescent="0.25">
      <c r="B80" s="15"/>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sheetProtection algorithmName="SHA-512" hashValue="9oaaXPbA15s+cB7z5dvS8G5nzG5wW38EcrEkZPFrGloa4segLZ6iTyRasKI8gtmNBBSwiV93KJ1wHXKdRtHNKg==" saltValue="AHepSbsUUEaGrzryx1tMiQ==" spinCount="100000" sheet="1" objects="1" scenarios="1"/>
  <mergeCells count="10">
    <mergeCell ref="B41:I41"/>
    <mergeCell ref="B4:I7"/>
    <mergeCell ref="B14:I14"/>
    <mergeCell ref="B22:I22"/>
    <mergeCell ref="B34:I34"/>
    <mergeCell ref="D39:I39"/>
    <mergeCell ref="D38:F38"/>
    <mergeCell ref="D35:F35"/>
    <mergeCell ref="D36:F36"/>
    <mergeCell ref="D37:F3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B0B4C-AE8F-4B2A-BB95-00223D4D8BE2}">
  <sheetPr>
    <tabColor rgb="FFFFCC00"/>
  </sheetPr>
  <dimension ref="A1:JX602"/>
  <sheetViews>
    <sheetView topLeftCell="A34" zoomScale="70" zoomScaleNormal="70" workbookViewId="0">
      <selection activeCell="G74" sqref="G74"/>
    </sheetView>
  </sheetViews>
  <sheetFormatPr defaultColWidth="9.140625" defaultRowHeight="15" x14ac:dyDescent="0.25"/>
  <cols>
    <col min="1" max="1" width="9.140625" style="200"/>
    <col min="2" max="2" width="71.140625" style="200" customWidth="1"/>
    <col min="3" max="3" width="31.28515625" style="200" customWidth="1"/>
    <col min="4" max="4" width="20.28515625" style="200" customWidth="1"/>
    <col min="5" max="5" width="21.7109375" style="200" customWidth="1"/>
    <col min="6" max="6" width="13.28515625" style="200" customWidth="1"/>
    <col min="7" max="7" width="22.85546875" style="200" customWidth="1"/>
    <col min="8" max="8" width="22.28515625" style="200" customWidth="1"/>
    <col min="9" max="9" width="22.140625" style="200" customWidth="1"/>
    <col min="10" max="10" width="19.42578125" style="200" customWidth="1"/>
    <col min="11" max="11" width="16" style="200" customWidth="1"/>
    <col min="12" max="12" width="17.5703125" style="200" customWidth="1"/>
    <col min="13" max="13" width="14.5703125" style="200" customWidth="1"/>
    <col min="14" max="14" width="15.85546875" style="200" customWidth="1"/>
    <col min="15" max="16" width="15.140625" style="200" customWidth="1"/>
    <col min="17" max="18" width="14.85546875" style="198" customWidth="1"/>
    <col min="19" max="19" width="14.7109375" style="198" customWidth="1"/>
    <col min="20" max="20" width="15.28515625" style="198" customWidth="1"/>
    <col min="21" max="21" width="15.5703125" style="198" bestFit="1" customWidth="1"/>
    <col min="22" max="22" width="12" style="198" customWidth="1"/>
    <col min="23" max="28" width="9.140625" style="198"/>
    <col min="29" max="16384" width="9.140625" style="200"/>
  </cols>
  <sheetData>
    <row r="1" spans="1:84" x14ac:dyDescent="0.25">
      <c r="A1" s="198"/>
      <c r="B1" s="491"/>
      <c r="C1" s="491"/>
      <c r="D1" s="491"/>
      <c r="E1" s="491"/>
      <c r="F1" s="491"/>
      <c r="G1" s="491"/>
      <c r="H1" s="491"/>
      <c r="I1" s="491"/>
      <c r="J1" s="491"/>
      <c r="K1" s="48"/>
      <c r="L1" s="48"/>
      <c r="M1" s="48"/>
      <c r="N1" s="48"/>
      <c r="O1" s="48"/>
      <c r="P1" s="48"/>
      <c r="Q1" s="48"/>
      <c r="R1" s="48"/>
      <c r="S1" s="48"/>
      <c r="T1" s="48"/>
      <c r="U1" s="4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row>
    <row r="2" spans="1:84" ht="14.25" customHeight="1" x14ac:dyDescent="0.25">
      <c r="A2" s="198"/>
      <c r="B2" s="753" t="s">
        <v>298</v>
      </c>
      <c r="C2" s="753"/>
      <c r="D2" s="753"/>
      <c r="E2" s="753"/>
      <c r="F2" s="753"/>
      <c r="G2" s="753"/>
      <c r="H2" s="753"/>
      <c r="I2" s="753"/>
      <c r="J2" s="753"/>
      <c r="K2" s="48"/>
      <c r="L2" s="48"/>
      <c r="M2" s="48"/>
      <c r="N2" s="48"/>
      <c r="O2" s="48"/>
      <c r="P2" s="48"/>
      <c r="Q2" s="48"/>
      <c r="R2" s="48"/>
      <c r="S2" s="48"/>
      <c r="T2" s="48"/>
      <c r="U2" s="4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row>
    <row r="3" spans="1:84" ht="14.25" customHeight="1" x14ac:dyDescent="0.25">
      <c r="A3" s="198"/>
      <c r="B3" s="753"/>
      <c r="C3" s="753"/>
      <c r="D3" s="753"/>
      <c r="E3" s="753"/>
      <c r="F3" s="753"/>
      <c r="G3" s="753"/>
      <c r="H3" s="753"/>
      <c r="I3" s="753"/>
      <c r="J3" s="753"/>
      <c r="K3" s="48"/>
      <c r="L3" s="48"/>
      <c r="M3" s="48"/>
      <c r="N3" s="48"/>
      <c r="O3" s="48"/>
      <c r="P3" s="48"/>
      <c r="Q3" s="48"/>
      <c r="R3" s="48"/>
      <c r="S3" s="48"/>
      <c r="T3" s="48"/>
      <c r="U3" s="4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row>
    <row r="4" spans="1:84" ht="14.25" customHeight="1" x14ac:dyDescent="0.25">
      <c r="A4" s="198"/>
      <c r="B4" s="753"/>
      <c r="C4" s="753"/>
      <c r="D4" s="753"/>
      <c r="E4" s="753"/>
      <c r="F4" s="753"/>
      <c r="G4" s="753"/>
      <c r="H4" s="753"/>
      <c r="I4" s="753"/>
      <c r="J4" s="753"/>
      <c r="K4" s="48"/>
      <c r="L4" s="48"/>
      <c r="M4" s="48"/>
      <c r="N4" s="48"/>
      <c r="O4" s="48"/>
      <c r="P4" s="48"/>
      <c r="Q4" s="48"/>
      <c r="R4" s="48"/>
      <c r="S4" s="48"/>
      <c r="T4" s="48"/>
      <c r="U4" s="4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row>
    <row r="5" spans="1:84" ht="19.5" customHeight="1" x14ac:dyDescent="0.25">
      <c r="A5" s="198"/>
      <c r="B5" s="496">
        <f>IF(C27&lt;=14000,
C27*10.5%,
IF(C27&lt;=48000,
(C27-14000)*17.5%+1470,
IF(C27&lt;=70000,
(C27-48000)*30%+7420,
IF(C27&lt;=180000,
(C27-70000)*33%+14020,
(C27-180000)*39%+50320))))</f>
        <v>23920</v>
      </c>
      <c r="C5" s="496">
        <f>IF(C28&lt;=14000,
C28*10.5%,
IF(C28&lt;=48000,
(C28-14000)*17.5%+1470,
IF(C28&lt;=70000,
(C28-48000)*30%+7420,
IF(C28&lt;=180000,
(C28-70000)*33%+14020,
(C28-180000)*39%+50320))))</f>
        <v>0</v>
      </c>
      <c r="D5" s="48"/>
      <c r="E5" s="496">
        <f>IF(C29&lt;=14000,
C29*10.5%,
IF(C29&lt;=48000,
(C29-14000)*17.5%+1470,
IF(C29&lt;=70000,
(C29-48000)*30%+7420,
IF(C29&lt;=180000,
(C29-70000)*33%+14020,
(C29-180000)*39%+50320))))</f>
        <v>0</v>
      </c>
      <c r="F5" s="496">
        <f>IF(C30&lt;=14000,
C30*10.5%,
IF(C30&lt;=48000,
(C30-14000)*17.5%+1470,
IF(C30&lt;=70000,
(C30-48000)*30%+7420,
IF(C30&lt;=180000,
(C30-70000)*33%+14020,
(C30-180000)*39%+50320))))</f>
        <v>0</v>
      </c>
      <c r="G5" s="48"/>
      <c r="H5" s="48"/>
      <c r="I5" s="425"/>
      <c r="J5" s="203"/>
      <c r="K5" s="48"/>
      <c r="L5" s="48"/>
      <c r="M5" s="48"/>
      <c r="N5" s="48"/>
      <c r="O5" s="48"/>
      <c r="P5" s="48"/>
      <c r="Q5" s="48"/>
      <c r="R5" s="48"/>
      <c r="S5" s="48"/>
      <c r="T5" s="48"/>
      <c r="U5" s="4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row>
    <row r="6" spans="1:84" ht="19.5" customHeight="1" x14ac:dyDescent="0.25">
      <c r="A6" s="198"/>
      <c r="B6" s="355" t="s">
        <v>42</v>
      </c>
      <c r="C6" s="204"/>
      <c r="D6" s="204"/>
      <c r="E6" s="204"/>
      <c r="F6" s="204"/>
      <c r="G6" s="204"/>
      <c r="H6" s="204"/>
      <c r="I6" s="204"/>
      <c r="J6" s="205"/>
      <c r="K6" s="48"/>
      <c r="L6" s="48"/>
      <c r="M6" s="48"/>
      <c r="N6" s="48"/>
      <c r="O6" s="48"/>
      <c r="P6" s="48"/>
      <c r="Q6" s="48"/>
      <c r="R6" s="48"/>
      <c r="S6" s="48"/>
      <c r="T6" s="48"/>
      <c r="U6" s="4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row>
    <row r="7" spans="1:84" x14ac:dyDescent="0.25">
      <c r="A7" s="198"/>
      <c r="B7" s="356" t="s">
        <v>274</v>
      </c>
      <c r="C7" s="203"/>
      <c r="D7" s="203"/>
      <c r="E7" s="203"/>
      <c r="F7" s="203"/>
      <c r="G7" s="203"/>
      <c r="H7" s="203"/>
      <c r="I7" s="203"/>
      <c r="J7" s="207"/>
      <c r="K7" s="48"/>
      <c r="L7" s="48"/>
      <c r="M7" s="48"/>
      <c r="N7" s="48"/>
      <c r="O7" s="48"/>
      <c r="P7" s="48"/>
      <c r="Q7" s="48"/>
      <c r="R7" s="48"/>
      <c r="S7" s="48"/>
      <c r="T7" s="48"/>
      <c r="U7" s="4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row>
    <row r="8" spans="1:84" x14ac:dyDescent="0.25">
      <c r="A8" s="198"/>
      <c r="B8" s="356" t="s">
        <v>43</v>
      </c>
      <c r="C8" s="203"/>
      <c r="D8" s="203"/>
      <c r="E8" s="203"/>
      <c r="F8" s="203"/>
      <c r="G8" s="203"/>
      <c r="H8" s="203"/>
      <c r="I8" s="203"/>
      <c r="J8" s="207"/>
      <c r="K8" s="48"/>
      <c r="L8" s="48"/>
      <c r="M8" s="48"/>
      <c r="N8" s="48"/>
      <c r="O8" s="48"/>
      <c r="P8" s="48"/>
      <c r="Q8" s="48"/>
      <c r="R8" s="48"/>
      <c r="S8" s="48"/>
      <c r="T8" s="48"/>
      <c r="U8" s="4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row>
    <row r="9" spans="1:84" x14ac:dyDescent="0.25">
      <c r="A9" s="198"/>
      <c r="B9" s="356"/>
      <c r="C9" s="203"/>
      <c r="D9" s="203"/>
      <c r="E9" s="203"/>
      <c r="F9" s="203"/>
      <c r="G9" s="203"/>
      <c r="H9" s="203"/>
      <c r="I9" s="203"/>
      <c r="J9" s="207"/>
      <c r="K9" s="48"/>
      <c r="L9" s="48"/>
      <c r="M9" s="48"/>
      <c r="N9" s="48"/>
      <c r="O9" s="48"/>
      <c r="P9" s="48"/>
      <c r="Q9" s="48"/>
      <c r="R9" s="48"/>
      <c r="S9" s="48"/>
      <c r="T9" s="48"/>
      <c r="U9" s="4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row>
    <row r="10" spans="1:84" x14ac:dyDescent="0.25">
      <c r="A10" s="198"/>
      <c r="B10" s="356" t="s">
        <v>468</v>
      </c>
      <c r="C10" s="203"/>
      <c r="D10" s="203"/>
      <c r="E10" s="203"/>
      <c r="F10" s="203"/>
      <c r="G10" s="203"/>
      <c r="H10" s="203"/>
      <c r="I10" s="203"/>
      <c r="J10" s="207"/>
      <c r="K10" s="48"/>
      <c r="L10" s="48"/>
      <c r="M10" s="48"/>
      <c r="N10" s="48"/>
      <c r="O10" s="48"/>
      <c r="P10" s="48"/>
      <c r="Q10" s="48"/>
      <c r="R10" s="48"/>
      <c r="S10" s="48"/>
      <c r="T10" s="48"/>
      <c r="U10" s="4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row>
    <row r="11" spans="1:84" ht="19.5" customHeight="1" x14ac:dyDescent="0.25">
      <c r="A11" s="198"/>
      <c r="B11" s="427"/>
      <c r="C11" s="209"/>
      <c r="D11" s="209"/>
      <c r="E11" s="209"/>
      <c r="F11" s="209"/>
      <c r="G11" s="428"/>
      <c r="H11" s="209"/>
      <c r="I11" s="209"/>
      <c r="J11" s="253"/>
      <c r="K11" s="198"/>
      <c r="L11" s="198"/>
      <c r="M11" s="198"/>
      <c r="N11" s="198"/>
      <c r="O11" s="198"/>
      <c r="P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row>
    <row r="12" spans="1:84" x14ac:dyDescent="0.25">
      <c r="A12" s="198"/>
      <c r="B12" s="427" t="s">
        <v>44</v>
      </c>
      <c r="C12" s="209"/>
      <c r="D12" s="209"/>
      <c r="E12" s="209"/>
      <c r="F12" s="209"/>
      <c r="G12" s="209"/>
      <c r="H12" s="209"/>
      <c r="I12" s="209"/>
      <c r="J12" s="253"/>
      <c r="K12" s="198"/>
      <c r="L12" s="198"/>
      <c r="M12" s="198"/>
      <c r="N12" s="198"/>
      <c r="O12" s="198"/>
      <c r="P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row>
    <row r="13" spans="1:84" x14ac:dyDescent="0.25">
      <c r="A13" s="198"/>
      <c r="B13" s="429" t="s">
        <v>371</v>
      </c>
      <c r="C13" s="209"/>
      <c r="D13" s="209"/>
      <c r="E13" s="209"/>
      <c r="F13" s="209"/>
      <c r="G13" s="209"/>
      <c r="H13" s="209"/>
      <c r="I13" s="209"/>
      <c r="J13" s="253"/>
      <c r="K13" s="198"/>
      <c r="L13" s="198"/>
      <c r="M13" s="198"/>
      <c r="N13" s="198"/>
      <c r="O13" s="198"/>
      <c r="P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row>
    <row r="14" spans="1:84" x14ac:dyDescent="0.25">
      <c r="A14" s="198"/>
      <c r="B14" s="429" t="s">
        <v>391</v>
      </c>
      <c r="C14" s="209"/>
      <c r="D14" s="209"/>
      <c r="E14" s="209"/>
      <c r="F14" s="209"/>
      <c r="G14" s="209"/>
      <c r="H14" s="209"/>
      <c r="I14" s="209"/>
      <c r="J14" s="253"/>
      <c r="K14" s="198"/>
      <c r="L14" s="198"/>
      <c r="M14" s="198"/>
      <c r="N14" s="198"/>
      <c r="O14" s="198"/>
      <c r="P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row>
    <row r="15" spans="1:84" x14ac:dyDescent="0.25">
      <c r="A15" s="198"/>
      <c r="B15" s="430"/>
      <c r="C15" s="263"/>
      <c r="D15" s="263"/>
      <c r="E15" s="263"/>
      <c r="F15" s="263"/>
      <c r="G15" s="263"/>
      <c r="H15" s="263"/>
      <c r="I15" s="263"/>
      <c r="J15" s="431"/>
      <c r="K15" s="198"/>
      <c r="L15" s="198"/>
      <c r="M15" s="198"/>
      <c r="N15" s="198"/>
      <c r="O15" s="198"/>
      <c r="P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row>
    <row r="16" spans="1:84" x14ac:dyDescent="0.25">
      <c r="A16" s="198"/>
      <c r="B16" s="198"/>
      <c r="C16" s="198"/>
      <c r="D16" s="198"/>
      <c r="E16" s="198"/>
      <c r="F16" s="198"/>
      <c r="G16" s="198"/>
      <c r="H16" s="198"/>
      <c r="I16" s="209"/>
      <c r="J16" s="198"/>
      <c r="K16" s="198"/>
      <c r="L16" s="198"/>
      <c r="M16" s="198"/>
      <c r="N16" s="198"/>
      <c r="O16" s="198"/>
      <c r="P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row>
    <row r="17" spans="1:84" ht="15.75" thickBot="1" x14ac:dyDescent="0.3">
      <c r="A17" s="198"/>
      <c r="B17" s="169" t="s">
        <v>276</v>
      </c>
      <c r="C17" s="198"/>
      <c r="D17" s="198"/>
      <c r="E17" s="198"/>
      <c r="F17" s="198"/>
      <c r="G17" s="198"/>
      <c r="H17" s="198"/>
      <c r="I17" s="209"/>
      <c r="J17" s="198"/>
      <c r="K17" s="198"/>
      <c r="L17" s="198"/>
      <c r="M17" s="198"/>
      <c r="N17" s="198"/>
      <c r="O17" s="198"/>
      <c r="P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row>
    <row r="18" spans="1:84" x14ac:dyDescent="0.25">
      <c r="A18" s="198"/>
      <c r="B18" s="198"/>
      <c r="C18" s="198"/>
      <c r="D18" s="198"/>
      <c r="E18" s="198"/>
      <c r="F18" s="198"/>
      <c r="G18" s="754" t="s">
        <v>296</v>
      </c>
      <c r="H18" s="755"/>
      <c r="I18" s="755"/>
      <c r="J18" s="756"/>
      <c r="K18" s="198"/>
      <c r="L18" s="198"/>
      <c r="M18" s="198"/>
      <c r="N18" s="198"/>
      <c r="O18" s="198"/>
      <c r="P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row>
    <row r="19" spans="1:84" x14ac:dyDescent="0.25">
      <c r="A19" s="198"/>
      <c r="B19" s="163" t="s">
        <v>45</v>
      </c>
      <c r="C19" s="198"/>
      <c r="D19" s="198"/>
      <c r="E19" s="198"/>
      <c r="G19" s="304" t="s">
        <v>424</v>
      </c>
      <c r="H19" s="103"/>
      <c r="I19" s="209"/>
      <c r="J19" s="432">
        <f>J52/(E34/52)</f>
        <v>0.20799999999999999</v>
      </c>
      <c r="K19" s="198"/>
      <c r="L19" s="198"/>
      <c r="M19" s="198"/>
      <c r="N19" s="198"/>
      <c r="O19" s="198"/>
      <c r="P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row>
    <row r="20" spans="1:84" x14ac:dyDescent="0.25">
      <c r="A20" s="198"/>
      <c r="B20" s="210" t="s">
        <v>278</v>
      </c>
      <c r="C20" s="748"/>
      <c r="D20" s="748"/>
      <c r="E20" s="748"/>
      <c r="F20" s="198"/>
      <c r="G20" s="304" t="s">
        <v>339</v>
      </c>
      <c r="H20" s="209"/>
      <c r="I20" s="209"/>
      <c r="J20" s="305">
        <f>J52</f>
        <v>400</v>
      </c>
      <c r="K20" s="198"/>
      <c r="L20" s="198"/>
      <c r="M20" s="198"/>
      <c r="N20" s="198"/>
      <c r="O20" s="198"/>
      <c r="P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row>
    <row r="21" spans="1:84" x14ac:dyDescent="0.25">
      <c r="A21" s="198"/>
      <c r="B21" s="210" t="s">
        <v>47</v>
      </c>
      <c r="C21" s="748"/>
      <c r="D21" s="748"/>
      <c r="E21" s="748"/>
      <c r="F21" s="209"/>
      <c r="G21" s="304" t="s">
        <v>51</v>
      </c>
      <c r="H21" s="209"/>
      <c r="I21" s="209"/>
      <c r="J21" s="305">
        <f>C128</f>
        <v>550</v>
      </c>
      <c r="K21" s="198"/>
      <c r="L21" s="198"/>
      <c r="M21" s="198"/>
      <c r="N21" s="198"/>
      <c r="O21" s="198"/>
      <c r="P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row>
    <row r="22" spans="1:84" x14ac:dyDescent="0.25">
      <c r="A22" s="198"/>
      <c r="B22" s="210" t="s">
        <v>279</v>
      </c>
      <c r="C22" s="748"/>
      <c r="D22" s="748"/>
      <c r="E22" s="748"/>
      <c r="F22" s="209"/>
      <c r="G22" s="304" t="s">
        <v>422</v>
      </c>
      <c r="H22" s="209"/>
      <c r="I22" s="209"/>
      <c r="J22" s="306" t="str">
        <f>IF(E84&gt;0,"Yes", "No")</f>
        <v>Yes</v>
      </c>
      <c r="K22" s="198"/>
      <c r="L22" s="198"/>
      <c r="M22" s="198"/>
      <c r="N22" s="198"/>
      <c r="O22" s="198"/>
      <c r="P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row>
    <row r="23" spans="1:84" x14ac:dyDescent="0.25">
      <c r="A23" s="198"/>
      <c r="B23" s="210" t="s">
        <v>280</v>
      </c>
      <c r="C23" s="752" t="s">
        <v>247</v>
      </c>
      <c r="D23" s="752"/>
      <c r="E23" s="752"/>
      <c r="F23" s="209"/>
      <c r="G23" s="304" t="s">
        <v>273</v>
      </c>
      <c r="H23" s="209"/>
      <c r="I23" s="209"/>
      <c r="J23" s="306" t="str">
        <f>F150</f>
        <v>YEAR 14</v>
      </c>
      <c r="L23" s="198"/>
      <c r="M23" s="198"/>
      <c r="N23" s="198"/>
      <c r="O23" s="198"/>
      <c r="P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row>
    <row r="24" spans="1:84" ht="15.75" thickBot="1" x14ac:dyDescent="0.3">
      <c r="A24" s="198"/>
      <c r="B24" s="210" t="s">
        <v>281</v>
      </c>
      <c r="C24" s="748" t="s">
        <v>50</v>
      </c>
      <c r="D24" s="748"/>
      <c r="E24" s="748"/>
      <c r="F24" s="209"/>
      <c r="G24" s="307" t="s">
        <v>338</v>
      </c>
      <c r="H24" s="433"/>
      <c r="I24" s="434">
        <f>C139</f>
        <v>0.8</v>
      </c>
      <c r="J24" s="435" t="str">
        <f>Q150</f>
        <v>YEAR 7</v>
      </c>
      <c r="K24" s="198"/>
      <c r="L24" s="198"/>
      <c r="M24" s="198"/>
      <c r="N24" s="198"/>
      <c r="O24" s="198"/>
      <c r="P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198"/>
      <c r="CF24" s="198"/>
    </row>
    <row r="25" spans="1:84" x14ac:dyDescent="0.25">
      <c r="A25" s="198"/>
      <c r="B25" s="210" t="s">
        <v>369</v>
      </c>
      <c r="C25" s="436"/>
      <c r="D25" s="436"/>
      <c r="E25" s="436"/>
      <c r="F25" s="198"/>
      <c r="G25" s="198"/>
      <c r="H25" s="198"/>
      <c r="I25" s="198"/>
      <c r="J25" s="198"/>
      <c r="K25" s="198"/>
      <c r="L25" s="198"/>
      <c r="M25" s="198"/>
      <c r="N25" s="198"/>
      <c r="O25" s="198"/>
      <c r="P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198"/>
      <c r="BX25" s="198"/>
      <c r="BY25" s="198"/>
      <c r="BZ25" s="198"/>
      <c r="CA25" s="198"/>
      <c r="CB25" s="198"/>
      <c r="CC25" s="198"/>
      <c r="CD25" s="198"/>
      <c r="CE25" s="198"/>
      <c r="CF25" s="198"/>
    </row>
    <row r="26" spans="1:84" x14ac:dyDescent="0.25">
      <c r="A26" s="198"/>
      <c r="B26" s="210"/>
      <c r="C26" s="437" t="s">
        <v>272</v>
      </c>
      <c r="D26" s="750" t="s">
        <v>271</v>
      </c>
      <c r="E26" s="750"/>
      <c r="F26" s="198"/>
      <c r="G26" s="198"/>
      <c r="H26" s="198"/>
      <c r="I26" s="198"/>
      <c r="J26" s="198"/>
      <c r="K26" s="198"/>
      <c r="L26" s="198"/>
      <c r="M26" s="198"/>
      <c r="N26" s="198"/>
      <c r="O26" s="198"/>
      <c r="P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c r="BY26" s="198"/>
      <c r="BZ26" s="198"/>
      <c r="CA26" s="198"/>
      <c r="CB26" s="198"/>
      <c r="CC26" s="198"/>
      <c r="CD26" s="198"/>
      <c r="CE26" s="198"/>
      <c r="CF26" s="198"/>
    </row>
    <row r="27" spans="1:84" x14ac:dyDescent="0.25">
      <c r="A27" s="198"/>
      <c r="B27" s="322" t="s">
        <v>267</v>
      </c>
      <c r="C27" s="438">
        <v>100000</v>
      </c>
      <c r="D27" s="751">
        <v>0.03</v>
      </c>
      <c r="E27" s="751"/>
      <c r="F27" s="494">
        <f>C27*0.0139</f>
        <v>1390</v>
      </c>
      <c r="G27" s="491"/>
      <c r="H27" s="492"/>
      <c r="I27" s="492"/>
      <c r="J27" s="493"/>
      <c r="K27" s="198"/>
      <c r="L27" s="198"/>
      <c r="M27" s="198"/>
      <c r="N27" s="198"/>
      <c r="O27" s="198"/>
      <c r="P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row>
    <row r="28" spans="1:84" x14ac:dyDescent="0.25">
      <c r="A28" s="198"/>
      <c r="B28" s="322" t="s">
        <v>268</v>
      </c>
      <c r="C28" s="438">
        <v>0</v>
      </c>
      <c r="D28" s="751">
        <v>0</v>
      </c>
      <c r="E28" s="751"/>
      <c r="F28" s="494">
        <f t="shared" ref="F28:F30" si="0">C28*0.0139</f>
        <v>0</v>
      </c>
      <c r="G28" s="491"/>
      <c r="H28" s="492"/>
      <c r="I28" s="492"/>
      <c r="J28" s="493"/>
      <c r="K28" s="198"/>
      <c r="L28" s="198"/>
      <c r="M28" s="198"/>
      <c r="N28" s="198"/>
      <c r="O28" s="198"/>
      <c r="P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row>
    <row r="29" spans="1:84" x14ac:dyDescent="0.25">
      <c r="A29" s="198"/>
      <c r="B29" s="322" t="s">
        <v>269</v>
      </c>
      <c r="C29" s="438">
        <v>0</v>
      </c>
      <c r="D29" s="751">
        <v>0</v>
      </c>
      <c r="E29" s="751"/>
      <c r="F29" s="494">
        <f t="shared" si="0"/>
        <v>0</v>
      </c>
      <c r="G29" s="491"/>
      <c r="H29" s="492"/>
      <c r="I29" s="492"/>
      <c r="J29" s="493"/>
      <c r="K29" s="198"/>
      <c r="L29" s="198"/>
      <c r="M29" s="198"/>
      <c r="N29" s="198"/>
      <c r="O29" s="198"/>
      <c r="P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198"/>
      <c r="BX29" s="198"/>
      <c r="BY29" s="198"/>
      <c r="BZ29" s="198"/>
      <c r="CA29" s="198"/>
      <c r="CB29" s="198"/>
      <c r="CC29" s="198"/>
      <c r="CD29" s="198"/>
      <c r="CE29" s="198"/>
      <c r="CF29" s="198"/>
    </row>
    <row r="30" spans="1:84" x14ac:dyDescent="0.25">
      <c r="A30" s="198"/>
      <c r="B30" s="322" t="s">
        <v>270</v>
      </c>
      <c r="C30" s="438">
        <v>0</v>
      </c>
      <c r="D30" s="751">
        <v>0</v>
      </c>
      <c r="E30" s="751"/>
      <c r="F30" s="494">
        <f t="shared" si="0"/>
        <v>0</v>
      </c>
      <c r="G30" s="491"/>
      <c r="H30" s="492"/>
      <c r="I30" s="492"/>
      <c r="J30" s="493"/>
      <c r="K30" s="198"/>
      <c r="L30" s="198"/>
      <c r="M30" s="198"/>
      <c r="N30" s="198"/>
      <c r="O30" s="198"/>
      <c r="P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c r="BU30" s="198"/>
      <c r="BV30" s="198"/>
      <c r="BW30" s="198"/>
      <c r="BX30" s="198"/>
      <c r="BY30" s="198"/>
      <c r="BZ30" s="198"/>
      <c r="CA30" s="198"/>
      <c r="CB30" s="198"/>
      <c r="CC30" s="198"/>
      <c r="CD30" s="198"/>
      <c r="CE30" s="198"/>
      <c r="CF30" s="198"/>
    </row>
    <row r="31" spans="1:84" x14ac:dyDescent="0.25">
      <c r="A31" s="198"/>
      <c r="B31" s="326" t="s">
        <v>53</v>
      </c>
      <c r="C31" s="327"/>
      <c r="D31" s="439"/>
      <c r="E31" s="439"/>
      <c r="F31" s="48"/>
      <c r="G31" s="43"/>
      <c r="H31" s="215"/>
      <c r="I31" s="209"/>
      <c r="J31" s="209"/>
      <c r="K31" s="198"/>
      <c r="L31" s="198"/>
      <c r="M31" s="198"/>
      <c r="N31" s="198"/>
      <c r="O31" s="198"/>
      <c r="P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8"/>
      <c r="BW31" s="198"/>
      <c r="BX31" s="198"/>
      <c r="BY31" s="198"/>
      <c r="BZ31" s="198"/>
      <c r="CA31" s="198"/>
      <c r="CB31" s="198"/>
      <c r="CC31" s="198"/>
      <c r="CD31" s="198"/>
      <c r="CE31" s="198"/>
      <c r="CF31" s="198"/>
    </row>
    <row r="32" spans="1:84" x14ac:dyDescent="0.25">
      <c r="A32" s="198"/>
      <c r="B32" s="329" t="s">
        <v>282</v>
      </c>
      <c r="C32" s="749"/>
      <c r="D32" s="749"/>
      <c r="E32" s="440" t="s">
        <v>52</v>
      </c>
      <c r="F32" s="441">
        <f>IF(E32="Yes",0,1)</f>
        <v>0</v>
      </c>
      <c r="G32" s="43"/>
      <c r="H32" s="43"/>
      <c r="I32" s="215"/>
      <c r="J32" s="215"/>
      <c r="K32" s="198"/>
      <c r="L32" s="198"/>
      <c r="M32" s="198"/>
      <c r="N32" s="198"/>
      <c r="O32" s="198"/>
      <c r="P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S32" s="198"/>
      <c r="BT32" s="198"/>
      <c r="BU32" s="198"/>
      <c r="BV32" s="198"/>
      <c r="BW32" s="198"/>
      <c r="BX32" s="198"/>
      <c r="BY32" s="198"/>
      <c r="BZ32" s="198"/>
      <c r="CA32" s="198"/>
      <c r="CB32" s="198"/>
      <c r="CC32" s="198"/>
      <c r="CD32" s="198"/>
      <c r="CE32" s="198"/>
      <c r="CF32" s="198"/>
    </row>
    <row r="33" spans="1:84" x14ac:dyDescent="0.25">
      <c r="A33" s="198"/>
      <c r="B33" s="329" t="s">
        <v>283</v>
      </c>
      <c r="C33" s="749"/>
      <c r="D33" s="749"/>
      <c r="E33" s="440" t="s">
        <v>54</v>
      </c>
      <c r="F33" s="441">
        <f>IF(E33="No",0,1)</f>
        <v>0</v>
      </c>
      <c r="G33" s="43"/>
      <c r="H33" s="43"/>
      <c r="I33" s="215"/>
      <c r="J33" s="215"/>
      <c r="K33" s="198"/>
      <c r="L33" s="198"/>
      <c r="M33" s="198"/>
      <c r="N33" s="198"/>
      <c r="O33" s="198"/>
      <c r="P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row>
    <row r="34" spans="1:84" ht="18.75" customHeight="1" x14ac:dyDescent="0.25">
      <c r="A34" s="198"/>
      <c r="B34" s="442" t="s">
        <v>284</v>
      </c>
      <c r="C34" s="443" t="str">
        <f>IF($E$34&lt;=130000,"Yes","No")</f>
        <v>Yes</v>
      </c>
      <c r="D34" s="340"/>
      <c r="E34" s="444">
        <f>SUM(C27:C30)</f>
        <v>100000</v>
      </c>
      <c r="F34" s="342">
        <f>IF(C34="Yes",0,1)</f>
        <v>0</v>
      </c>
      <c r="G34" s="321"/>
      <c r="H34" s="43"/>
      <c r="I34" s="215"/>
      <c r="J34" s="215"/>
      <c r="K34" s="198"/>
      <c r="L34" s="198"/>
      <c r="M34" s="198"/>
      <c r="N34" s="198"/>
      <c r="O34" s="198"/>
      <c r="P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198"/>
      <c r="CF34" s="198"/>
    </row>
    <row r="35" spans="1:84" s="209" customFormat="1" x14ac:dyDescent="0.25">
      <c r="G35" s="43"/>
      <c r="H35" s="43"/>
      <c r="I35" s="215"/>
      <c r="J35" s="215"/>
    </row>
    <row r="36" spans="1:84" s="209" customFormat="1" x14ac:dyDescent="0.25">
      <c r="B36" s="163" t="s">
        <v>368</v>
      </c>
      <c r="C36" s="397"/>
      <c r="D36" s="397"/>
      <c r="E36" s="397"/>
      <c r="G36" s="43"/>
      <c r="H36" s="43"/>
      <c r="I36" s="215"/>
      <c r="J36" s="215"/>
    </row>
    <row r="37" spans="1:84" x14ac:dyDescent="0.25">
      <c r="A37" s="198"/>
      <c r="B37" s="329" t="s">
        <v>336</v>
      </c>
      <c r="C37" s="327"/>
      <c r="D37" s="327"/>
      <c r="E37" s="328">
        <v>650000</v>
      </c>
      <c r="F37" s="198"/>
      <c r="G37" s="43"/>
      <c r="H37" s="216"/>
      <c r="I37" s="43"/>
      <c r="J37" s="43"/>
      <c r="K37" s="198"/>
      <c r="L37" s="198"/>
      <c r="M37" s="198"/>
      <c r="N37" s="198"/>
      <c r="O37" s="198"/>
      <c r="P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row>
    <row r="38" spans="1:84" x14ac:dyDescent="0.25">
      <c r="A38" s="198"/>
      <c r="B38" s="329" t="s">
        <v>337</v>
      </c>
      <c r="C38" s="327"/>
      <c r="D38" s="327"/>
      <c r="E38" s="328" t="s">
        <v>237</v>
      </c>
      <c r="F38" s="198"/>
      <c r="G38" s="43"/>
      <c r="H38" s="216"/>
      <c r="I38" s="43"/>
      <c r="J38" s="43"/>
      <c r="K38" s="198"/>
      <c r="L38" s="198"/>
      <c r="M38" s="198"/>
      <c r="N38" s="198"/>
      <c r="O38" s="198"/>
      <c r="P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8"/>
      <c r="BW38" s="198"/>
      <c r="BX38" s="198"/>
      <c r="BY38" s="198"/>
      <c r="BZ38" s="198"/>
      <c r="CA38" s="198"/>
      <c r="CB38" s="198"/>
      <c r="CC38" s="198"/>
      <c r="CD38" s="198"/>
      <c r="CE38" s="198"/>
      <c r="CF38" s="198"/>
    </row>
    <row r="39" spans="1:84" x14ac:dyDescent="0.25">
      <c r="A39" s="198"/>
      <c r="B39" s="329" t="s">
        <v>358</v>
      </c>
      <c r="C39" s="327"/>
      <c r="D39" s="327"/>
      <c r="E39" s="328"/>
      <c r="F39" s="198"/>
      <c r="G39" s="43"/>
      <c r="H39" s="216"/>
      <c r="I39" s="43"/>
      <c r="J39" s="43"/>
      <c r="K39" s="198"/>
      <c r="L39" s="198"/>
      <c r="M39" s="198"/>
      <c r="N39" s="198"/>
      <c r="O39" s="198"/>
      <c r="P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c r="BW39" s="198"/>
      <c r="BX39" s="198"/>
      <c r="BY39" s="198"/>
      <c r="BZ39" s="198"/>
      <c r="CA39" s="198"/>
      <c r="CB39" s="198"/>
      <c r="CC39" s="198"/>
      <c r="CD39" s="198"/>
      <c r="CE39" s="198"/>
      <c r="CF39" s="198"/>
    </row>
    <row r="40" spans="1:84" x14ac:dyDescent="0.25">
      <c r="A40" s="198"/>
      <c r="B40" s="329"/>
      <c r="C40" s="327"/>
      <c r="D40" s="327"/>
      <c r="E40" s="401"/>
      <c r="F40" s="198"/>
      <c r="G40" s="43"/>
      <c r="H40" s="216"/>
      <c r="I40" s="43"/>
      <c r="J40" s="43"/>
      <c r="K40" s="198"/>
      <c r="L40" s="198"/>
      <c r="M40" s="198"/>
      <c r="N40" s="198"/>
      <c r="O40" s="198"/>
      <c r="P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row>
    <row r="41" spans="1:84" x14ac:dyDescent="0.25">
      <c r="A41" s="198"/>
      <c r="B41" s="211" t="s">
        <v>55</v>
      </c>
      <c r="C41" s="161"/>
      <c r="D41" s="161"/>
      <c r="E41" s="193"/>
      <c r="F41" s="198"/>
      <c r="G41" s="43"/>
      <c r="H41" s="43"/>
      <c r="I41" s="43"/>
      <c r="J41" s="43"/>
      <c r="K41" s="198"/>
      <c r="L41" s="198"/>
      <c r="M41" s="198"/>
      <c r="N41" s="198"/>
      <c r="O41" s="198"/>
      <c r="P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row>
    <row r="42" spans="1:84" x14ac:dyDescent="0.25">
      <c r="A42" s="198"/>
      <c r="B42" s="445" t="s">
        <v>370</v>
      </c>
      <c r="C42" s="161"/>
      <c r="D42" s="161"/>
      <c r="E42" s="193"/>
      <c r="F42" s="198"/>
      <c r="G42" s="43"/>
      <c r="H42" s="43"/>
      <c r="I42" s="43"/>
      <c r="J42" s="43"/>
      <c r="K42" s="198"/>
      <c r="L42" s="198"/>
      <c r="M42" s="198"/>
      <c r="N42" s="198"/>
      <c r="O42" s="198"/>
      <c r="P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row>
    <row r="43" spans="1:84" ht="14.45" customHeight="1" x14ac:dyDescent="0.25">
      <c r="A43" s="198"/>
      <c r="B43" s="210" t="s">
        <v>56</v>
      </c>
      <c r="C43" s="215"/>
      <c r="D43" s="215"/>
      <c r="E43" s="214">
        <v>5000</v>
      </c>
      <c r="F43" s="198"/>
      <c r="G43" s="43"/>
      <c r="H43" s="43"/>
      <c r="I43" s="43"/>
      <c r="J43" s="43"/>
      <c r="K43" s="198"/>
      <c r="L43" s="198"/>
      <c r="M43" s="198"/>
      <c r="N43" s="198"/>
      <c r="O43" s="198"/>
      <c r="P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row>
    <row r="44" spans="1:84" ht="14.45" customHeight="1" x14ac:dyDescent="0.25">
      <c r="A44" s="198"/>
      <c r="B44" s="210" t="s">
        <v>57</v>
      </c>
      <c r="C44" s="215"/>
      <c r="D44" s="215"/>
      <c r="E44" s="214">
        <v>20000</v>
      </c>
      <c r="F44" s="198"/>
      <c r="G44" s="198"/>
      <c r="H44" s="198"/>
      <c r="I44" s="198"/>
      <c r="J44" s="198"/>
      <c r="K44" s="198"/>
      <c r="L44" s="198"/>
      <c r="M44" s="198"/>
      <c r="N44" s="198"/>
      <c r="O44" s="198"/>
      <c r="P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row>
    <row r="45" spans="1:84" ht="14.45" customHeight="1" x14ac:dyDescent="0.25">
      <c r="A45" s="198"/>
      <c r="B45" s="210" t="s">
        <v>426</v>
      </c>
      <c r="C45" s="535"/>
      <c r="D45" s="215"/>
      <c r="E45" s="214">
        <v>20000</v>
      </c>
      <c r="F45" s="198"/>
      <c r="G45" s="198"/>
      <c r="H45" s="198"/>
      <c r="I45" s="198"/>
      <c r="J45" s="198"/>
      <c r="K45" s="198"/>
      <c r="L45" s="198"/>
      <c r="M45" s="198"/>
      <c r="N45" s="198"/>
      <c r="O45" s="198"/>
      <c r="P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row>
    <row r="46" spans="1:84" ht="14.45" customHeight="1" x14ac:dyDescent="0.25">
      <c r="A46" s="198"/>
      <c r="B46" s="210" t="s">
        <v>58</v>
      </c>
      <c r="C46" s="215"/>
      <c r="D46" s="215"/>
      <c r="E46" s="214">
        <v>5000</v>
      </c>
      <c r="F46" s="198"/>
      <c r="G46" s="198"/>
      <c r="H46" s="198"/>
      <c r="I46" s="198"/>
      <c r="J46" s="198"/>
      <c r="K46" s="198"/>
      <c r="L46" s="198"/>
      <c r="M46" s="198"/>
      <c r="N46" s="198"/>
      <c r="O46" s="198"/>
      <c r="P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8"/>
    </row>
    <row r="47" spans="1:84" x14ac:dyDescent="0.25">
      <c r="A47" s="198"/>
      <c r="B47" s="257" t="s">
        <v>334</v>
      </c>
      <c r="C47" s="215"/>
      <c r="D47" s="215"/>
      <c r="E47" s="212">
        <f>SUM(E43:E46)</f>
        <v>50000</v>
      </c>
      <c r="F47" s="198"/>
      <c r="G47" s="198"/>
      <c r="H47" s="198"/>
      <c r="I47" s="198"/>
      <c r="J47" s="198"/>
      <c r="K47" s="198"/>
      <c r="L47" s="198"/>
      <c r="M47" s="198"/>
      <c r="N47" s="198"/>
      <c r="O47" s="198"/>
      <c r="P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98"/>
      <c r="BV47" s="198"/>
      <c r="BW47" s="198"/>
      <c r="BX47" s="198"/>
      <c r="BY47" s="198"/>
      <c r="BZ47" s="198"/>
      <c r="CA47" s="198"/>
      <c r="CB47" s="198"/>
      <c r="CC47" s="198"/>
      <c r="CD47" s="198"/>
      <c r="CE47" s="198"/>
      <c r="CF47" s="198"/>
    </row>
    <row r="48" spans="1:84" x14ac:dyDescent="0.25">
      <c r="A48" s="209"/>
      <c r="B48" s="161"/>
      <c r="C48" s="534"/>
      <c r="D48" s="534"/>
      <c r="E48" s="193"/>
      <c r="F48" s="209"/>
      <c r="G48" s="209"/>
      <c r="H48" s="209"/>
      <c r="I48" s="209"/>
      <c r="J48" s="198"/>
      <c r="K48" s="198"/>
      <c r="L48" s="198"/>
      <c r="M48" s="198"/>
      <c r="N48" s="198"/>
      <c r="O48" s="198"/>
      <c r="P48" s="198"/>
      <c r="AC48" s="198"/>
      <c r="AD48" s="198"/>
      <c r="AE48" s="198"/>
      <c r="AF48" s="198"/>
      <c r="AG48" s="198"/>
      <c r="AH48" s="198"/>
      <c r="AI48" s="198"/>
      <c r="AJ48" s="198"/>
      <c r="AK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row>
    <row r="49" spans="1:84" x14ac:dyDescent="0.25">
      <c r="A49" s="209"/>
      <c r="B49" s="211" t="s">
        <v>421</v>
      </c>
      <c r="C49" s="202"/>
      <c r="D49" s="202"/>
      <c r="E49" s="193"/>
      <c r="F49" s="209"/>
      <c r="G49" s="211" t="s">
        <v>333</v>
      </c>
      <c r="H49" s="209"/>
      <c r="I49" s="209"/>
      <c r="J49" s="198"/>
      <c r="K49" s="209"/>
      <c r="L49" s="209"/>
      <c r="M49" s="198"/>
      <c r="N49" s="198"/>
      <c r="O49" s="198"/>
      <c r="P49" s="198"/>
      <c r="AC49" s="198"/>
      <c r="AD49" s="198"/>
      <c r="AE49" s="198"/>
      <c r="AF49" s="198"/>
      <c r="AG49" s="198"/>
      <c r="AH49" s="198"/>
      <c r="AI49" s="198"/>
      <c r="AJ49" s="198"/>
      <c r="AK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8"/>
      <c r="BR49" s="198"/>
      <c r="BS49" s="198"/>
      <c r="BT49" s="198"/>
      <c r="BU49" s="198"/>
      <c r="BV49" s="198"/>
      <c r="BW49" s="198"/>
      <c r="BX49" s="198"/>
      <c r="BY49" s="198"/>
      <c r="BZ49" s="198"/>
      <c r="CA49" s="198"/>
      <c r="CB49" s="198"/>
      <c r="CC49" s="198"/>
      <c r="CD49" s="198"/>
      <c r="CE49" s="198"/>
      <c r="CF49" s="198"/>
    </row>
    <row r="50" spans="1:84" x14ac:dyDescent="0.25">
      <c r="A50" s="209"/>
      <c r="B50" s="445" t="s">
        <v>59</v>
      </c>
      <c r="C50" s="202"/>
      <c r="D50" s="202"/>
      <c r="E50" s="193"/>
      <c r="F50" s="209"/>
      <c r="G50" s="445" t="s">
        <v>372</v>
      </c>
      <c r="H50" s="209"/>
      <c r="I50" s="209"/>
      <c r="J50" s="198"/>
      <c r="K50" s="209"/>
      <c r="L50" s="209"/>
      <c r="M50" s="198"/>
      <c r="N50" s="198"/>
      <c r="O50" s="198"/>
      <c r="P50" s="198"/>
      <c r="AC50" s="198"/>
      <c r="AD50" s="198"/>
      <c r="AE50" s="198"/>
      <c r="AF50" s="198"/>
      <c r="AG50" s="198"/>
      <c r="AH50" s="198"/>
      <c r="AI50" s="198"/>
      <c r="AJ50" s="198"/>
      <c r="AK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98"/>
      <c r="CB50" s="198"/>
      <c r="CC50" s="198"/>
      <c r="CD50" s="198"/>
      <c r="CE50" s="198"/>
      <c r="CF50" s="198"/>
    </row>
    <row r="51" spans="1:84" x14ac:dyDescent="0.25">
      <c r="A51" s="209"/>
      <c r="B51" s="161"/>
      <c r="C51" s="202"/>
      <c r="D51" s="202"/>
      <c r="E51" s="193"/>
      <c r="F51" s="209"/>
      <c r="G51" s="209"/>
      <c r="H51" s="209"/>
      <c r="I51" s="209"/>
      <c r="J51" s="198"/>
      <c r="K51" s="209"/>
      <c r="L51" s="209"/>
      <c r="M51" s="198"/>
      <c r="N51" s="198"/>
      <c r="O51" s="198"/>
      <c r="P51" s="198"/>
      <c r="AC51" s="198"/>
      <c r="AD51" s="198"/>
      <c r="AE51" s="198"/>
      <c r="AF51" s="198"/>
      <c r="AG51" s="198"/>
      <c r="AH51" s="198"/>
      <c r="AI51" s="198"/>
      <c r="AJ51" s="198"/>
      <c r="AK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8"/>
      <c r="BR51" s="198"/>
      <c r="BS51" s="198"/>
      <c r="BT51" s="198"/>
      <c r="BU51" s="198"/>
      <c r="BV51" s="198"/>
      <c r="BW51" s="198"/>
      <c r="BX51" s="198"/>
      <c r="BY51" s="198"/>
      <c r="BZ51" s="198"/>
      <c r="CA51" s="198"/>
      <c r="CB51" s="198"/>
      <c r="CC51" s="198"/>
      <c r="CD51" s="198"/>
      <c r="CE51" s="198"/>
      <c r="CF51" s="198"/>
    </row>
    <row r="52" spans="1:84" x14ac:dyDescent="0.25">
      <c r="A52" s="198"/>
      <c r="B52" s="213" t="s">
        <v>60</v>
      </c>
      <c r="C52" s="757"/>
      <c r="D52" s="757"/>
      <c r="E52" s="17" t="s">
        <v>61</v>
      </c>
      <c r="F52" s="198"/>
      <c r="G52" s="69" t="s">
        <v>299</v>
      </c>
      <c r="H52" s="266"/>
      <c r="I52" s="266"/>
      <c r="J52" s="394">
        <v>400</v>
      </c>
      <c r="K52" s="446"/>
      <c r="L52" s="446"/>
      <c r="M52" s="108"/>
      <c r="N52" s="15"/>
      <c r="O52" s="15"/>
      <c r="P52" s="15"/>
      <c r="AC52" s="198"/>
      <c r="AD52" s="198"/>
      <c r="AE52" s="198"/>
      <c r="AF52" s="198"/>
      <c r="AG52" s="198"/>
      <c r="AH52" s="198"/>
      <c r="AI52" s="198"/>
      <c r="AJ52" s="198"/>
      <c r="AK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c r="BS52" s="198"/>
      <c r="BT52" s="198"/>
      <c r="BU52" s="198"/>
      <c r="BV52" s="198"/>
      <c r="BW52" s="198"/>
      <c r="BX52" s="198"/>
      <c r="BY52" s="198"/>
      <c r="BZ52" s="198"/>
      <c r="CA52" s="198"/>
      <c r="CB52" s="198"/>
      <c r="CC52" s="198"/>
      <c r="CD52" s="198"/>
      <c r="CE52" s="198"/>
      <c r="CF52" s="198"/>
    </row>
    <row r="53" spans="1:84" x14ac:dyDescent="0.25">
      <c r="A53" s="198"/>
      <c r="B53" s="208" t="s">
        <v>277</v>
      </c>
      <c r="C53" s="758"/>
      <c r="D53" s="758"/>
      <c r="E53" s="447">
        <f>((($C$27-SUM($B$5))/52)+(($C$28-SUM($C$5))/52)+(($C$29-SUM($E$5))/52)+(($C$30-SUM($F$5))/52))-(((C27*D27)+(C28*D28)+(C29*D29)+(C30*D30)+(F27+F28+F29+F30))/52)</f>
        <v>1378.6538461538462</v>
      </c>
      <c r="F53" s="198"/>
      <c r="G53" s="208" t="s">
        <v>300</v>
      </c>
      <c r="H53" s="209"/>
      <c r="I53" s="209"/>
      <c r="J53" s="217">
        <f>J52*52</f>
        <v>20800</v>
      </c>
      <c r="K53" s="209"/>
      <c r="L53" s="209"/>
      <c r="M53" s="109"/>
      <c r="N53" s="15"/>
      <c r="O53" s="15"/>
      <c r="P53" s="15"/>
      <c r="AC53" s="198"/>
      <c r="AD53" s="198"/>
      <c r="AE53" s="198"/>
      <c r="AF53" s="198"/>
      <c r="AG53" s="198"/>
      <c r="AH53" s="198"/>
      <c r="AI53" s="198"/>
      <c r="AJ53" s="198"/>
      <c r="AK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c r="BR53" s="198"/>
      <c r="BS53" s="198"/>
      <c r="BT53" s="198"/>
      <c r="BU53" s="198"/>
      <c r="BV53" s="198"/>
      <c r="BW53" s="198"/>
      <c r="BX53" s="198"/>
      <c r="BY53" s="198"/>
      <c r="BZ53" s="198"/>
      <c r="CA53" s="198"/>
      <c r="CB53" s="198"/>
      <c r="CC53" s="198"/>
      <c r="CD53" s="198"/>
      <c r="CE53" s="198"/>
      <c r="CF53" s="198"/>
    </row>
    <row r="54" spans="1:84" x14ac:dyDescent="0.25">
      <c r="A54" s="198"/>
      <c r="B54" s="208" t="s">
        <v>62</v>
      </c>
      <c r="C54" s="758"/>
      <c r="D54" s="758"/>
      <c r="E54" s="448">
        <v>0</v>
      </c>
      <c r="F54" s="198"/>
      <c r="G54" s="208"/>
      <c r="H54" s="209"/>
      <c r="I54" s="209"/>
      <c r="J54" s="231"/>
      <c r="K54" s="209"/>
      <c r="L54" s="209"/>
      <c r="M54" s="108"/>
      <c r="N54" s="15"/>
      <c r="O54" s="15"/>
      <c r="P54" s="15"/>
      <c r="AC54" s="198"/>
      <c r="AD54" s="198"/>
      <c r="AE54" s="198"/>
      <c r="AF54" s="198"/>
      <c r="AG54" s="198"/>
      <c r="AH54" s="198"/>
      <c r="AI54" s="198"/>
      <c r="AJ54" s="198"/>
      <c r="AK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98"/>
    </row>
    <row r="55" spans="1:84" x14ac:dyDescent="0.25">
      <c r="A55" s="198"/>
      <c r="B55" s="67" t="s">
        <v>63</v>
      </c>
      <c r="C55" s="759"/>
      <c r="D55" s="759"/>
      <c r="E55" s="105">
        <f>E53+E54</f>
        <v>1378.6538461538462</v>
      </c>
      <c r="F55" s="198"/>
      <c r="G55" s="208" t="s">
        <v>301</v>
      </c>
      <c r="H55" s="209"/>
      <c r="I55" s="209"/>
      <c r="J55" s="231"/>
      <c r="K55" s="209"/>
      <c r="L55" s="209"/>
      <c r="M55" s="110"/>
      <c r="N55" s="15"/>
      <c r="O55" s="15"/>
      <c r="P55" s="15"/>
      <c r="AC55" s="198"/>
      <c r="AD55" s="198"/>
      <c r="AE55" s="198"/>
      <c r="AF55" s="198"/>
      <c r="AG55" s="198"/>
      <c r="AH55" s="198"/>
      <c r="AI55" s="198"/>
      <c r="AJ55" s="198"/>
      <c r="AK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row>
    <row r="56" spans="1:84" x14ac:dyDescent="0.25">
      <c r="A56" s="198"/>
      <c r="B56" s="330" t="s">
        <v>64</v>
      </c>
      <c r="C56" s="449" t="s">
        <v>65</v>
      </c>
      <c r="D56" s="450"/>
      <c r="E56" s="334" t="s">
        <v>61</v>
      </c>
      <c r="F56" s="198"/>
      <c r="G56" s="208" t="s">
        <v>302</v>
      </c>
      <c r="H56" s="209"/>
      <c r="I56" s="209"/>
      <c r="J56" s="448">
        <v>28</v>
      </c>
      <c r="K56" s="209"/>
      <c r="L56" s="209"/>
      <c r="M56" s="15"/>
      <c r="N56" s="15"/>
      <c r="O56" s="15"/>
      <c r="P56" s="15"/>
      <c r="AC56" s="198"/>
      <c r="AD56" s="198"/>
      <c r="AE56" s="198"/>
      <c r="AF56" s="198"/>
      <c r="AG56" s="198"/>
      <c r="AH56" s="198"/>
      <c r="AI56" s="198"/>
      <c r="AJ56" s="198"/>
      <c r="AK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row>
    <row r="57" spans="1:84" ht="30" x14ac:dyDescent="0.25">
      <c r="A57" s="43"/>
      <c r="B57" s="451"/>
      <c r="C57" s="452" t="str">
        <f>C23&amp;""&amp;C24</f>
        <v>Urban Auckland Couple with 3 dependent children</v>
      </c>
      <c r="D57" s="453"/>
      <c r="E57" s="254"/>
      <c r="F57" s="198"/>
      <c r="G57" s="486" t="s">
        <v>73</v>
      </c>
      <c r="H57" s="487"/>
      <c r="I57" s="487"/>
      <c r="J57" s="488">
        <v>60</v>
      </c>
      <c r="K57" s="209"/>
      <c r="L57" s="209"/>
      <c r="M57" s="357"/>
      <c r="N57" s="15"/>
      <c r="O57" s="15"/>
      <c r="P57" s="15"/>
      <c r="AC57" s="198"/>
      <c r="AD57" s="198"/>
      <c r="AE57" s="198"/>
      <c r="AF57" s="198"/>
      <c r="AG57" s="198"/>
      <c r="AH57" s="198"/>
      <c r="AI57" s="198"/>
      <c r="AJ57" s="198"/>
      <c r="AK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row>
    <row r="58" spans="1:84" x14ac:dyDescent="0.25">
      <c r="A58" s="489"/>
      <c r="B58" s="261" t="s">
        <v>66</v>
      </c>
      <c r="C58" s="454">
        <f>IFERROR(INDEX(Codes!$N$11:$AK$48,MATCH($C$57,Codes!$N$11:$N$48,0),MATCH($B58,Codes!$N$11:$AK$11,0)),0)</f>
        <v>407.1</v>
      </c>
      <c r="D58" s="258">
        <f t="shared" ref="D58:D73" si="1">IF(E58&gt;ROUND(C58,0),2,IF(E58&lt;ROUND(C58,0),0,1))</f>
        <v>0</v>
      </c>
      <c r="E58" s="448">
        <v>240</v>
      </c>
      <c r="F58" s="198"/>
      <c r="G58" s="208" t="s">
        <v>303</v>
      </c>
      <c r="H58" s="209"/>
      <c r="I58" s="209"/>
      <c r="J58" s="448">
        <v>39</v>
      </c>
      <c r="K58" s="209"/>
      <c r="L58" s="209"/>
      <c r="M58" s="111"/>
      <c r="N58" s="15"/>
      <c r="O58" s="15"/>
      <c r="P58" s="15"/>
      <c r="AC58" s="198"/>
      <c r="AD58" s="198"/>
      <c r="AE58" s="198"/>
      <c r="AF58" s="198"/>
      <c r="AG58" s="198"/>
      <c r="AH58" s="198"/>
      <c r="AI58" s="198"/>
      <c r="AJ58" s="198"/>
      <c r="AK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row>
    <row r="59" spans="1:84" x14ac:dyDescent="0.25">
      <c r="A59" s="489"/>
      <c r="B59" s="331" t="s">
        <v>67</v>
      </c>
      <c r="C59" s="454">
        <f>IFERROR(INDEX(Codes!$N$11:$AK$48,MATCH($C$57,Codes!$N$11:$N$48,0),MATCH($B59,Codes!$N$11:$AK$11,0)),0)</f>
        <v>454.5</v>
      </c>
      <c r="D59" s="258">
        <f t="shared" si="1"/>
        <v>0</v>
      </c>
      <c r="E59" s="217">
        <f>J52</f>
        <v>400</v>
      </c>
      <c r="F59" s="198"/>
      <c r="G59" s="208" t="s">
        <v>304</v>
      </c>
      <c r="H59" s="209"/>
      <c r="I59" s="209"/>
      <c r="J59" s="448">
        <v>56</v>
      </c>
      <c r="K59" s="209"/>
      <c r="L59" s="209"/>
      <c r="M59" s="111"/>
      <c r="N59" s="15"/>
      <c r="O59" s="15"/>
      <c r="P59" s="15"/>
      <c r="AC59" s="198"/>
      <c r="AD59" s="198"/>
      <c r="AE59" s="198"/>
      <c r="AF59" s="198"/>
      <c r="AG59" s="198"/>
      <c r="AH59" s="198"/>
      <c r="AI59" s="198"/>
      <c r="AJ59" s="198"/>
      <c r="AK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row>
    <row r="60" spans="1:84" x14ac:dyDescent="0.25">
      <c r="A60" s="489"/>
      <c r="B60" s="331" t="s">
        <v>68</v>
      </c>
      <c r="C60" s="454">
        <f>IFERROR(INDEX(Codes!$N$11:$AK$48,MATCH($C$57,Codes!$N$11:$N$48,0),MATCH($B60,Codes!$N$11:$AK$11,0)),0)</f>
        <v>840.4</v>
      </c>
      <c r="D60" s="258">
        <f t="shared" si="1"/>
        <v>0</v>
      </c>
      <c r="E60" s="217">
        <f>-H57/52</f>
        <v>0</v>
      </c>
      <c r="F60" s="198"/>
      <c r="G60" s="208" t="s">
        <v>305</v>
      </c>
      <c r="H60" s="209"/>
      <c r="I60" s="209"/>
      <c r="J60" s="448">
        <v>10</v>
      </c>
      <c r="K60" s="209"/>
      <c r="L60" s="209"/>
      <c r="M60" s="111"/>
      <c r="N60" s="15"/>
      <c r="O60" s="15"/>
      <c r="P60" s="15"/>
      <c r="AC60" s="198"/>
      <c r="AD60" s="198"/>
      <c r="AE60" s="198"/>
      <c r="AF60" s="198"/>
      <c r="AG60" s="198"/>
      <c r="AH60" s="198"/>
      <c r="AI60" s="198"/>
      <c r="AJ60" s="198"/>
      <c r="AK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row>
    <row r="61" spans="1:84" x14ac:dyDescent="0.25">
      <c r="A61" s="489"/>
      <c r="B61" s="261" t="s">
        <v>69</v>
      </c>
      <c r="C61" s="454">
        <f>IFERROR(INDEX(Codes!$N$11:$AK$48,MATCH($C$57,Codes!$N$11:$N$48,0),MATCH($B61,Codes!$N$11:$AK$11,0)),0)</f>
        <v>58</v>
      </c>
      <c r="D61" s="258">
        <f t="shared" si="1"/>
        <v>0</v>
      </c>
      <c r="E61" s="448">
        <v>27</v>
      </c>
      <c r="F61" s="198"/>
      <c r="G61" s="67" t="s">
        <v>306</v>
      </c>
      <c r="H61" s="161"/>
      <c r="I61" s="161"/>
      <c r="J61" s="105">
        <f>SUM(J56:J60)</f>
        <v>193</v>
      </c>
      <c r="K61" s="209"/>
      <c r="L61" s="209"/>
      <c r="M61" s="111"/>
      <c r="N61" s="15"/>
      <c r="O61" s="15"/>
      <c r="P61" s="15"/>
      <c r="AC61" s="198"/>
      <c r="AD61" s="198"/>
      <c r="AE61" s="198"/>
      <c r="AF61" s="198"/>
      <c r="AG61" s="198"/>
      <c r="AH61" s="198"/>
      <c r="AI61" s="198"/>
      <c r="AJ61" s="198"/>
      <c r="AK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row>
    <row r="62" spans="1:84" x14ac:dyDescent="0.25">
      <c r="A62" s="489"/>
      <c r="B62" s="261" t="s">
        <v>70</v>
      </c>
      <c r="C62" s="454">
        <f>IFERROR(INDEX(Codes!$N$11:$AK$48,MATCH($C$57,Codes!$N$11:$N$48,0),MATCH($B62,Codes!$N$11:$AK$11,0)),0)</f>
        <v>64.2</v>
      </c>
      <c r="D62" s="258">
        <f t="shared" si="1"/>
        <v>0</v>
      </c>
      <c r="E62" s="448">
        <v>36</v>
      </c>
      <c r="F62" s="198"/>
      <c r="G62" s="208"/>
      <c r="H62" s="209"/>
      <c r="I62" s="209"/>
      <c r="J62" s="231"/>
      <c r="K62" s="209"/>
      <c r="L62" s="209"/>
      <c r="M62" s="111"/>
      <c r="N62" s="15"/>
      <c r="O62" s="15"/>
      <c r="P62" s="15"/>
      <c r="AC62" s="198"/>
      <c r="AD62" s="198"/>
      <c r="AE62" s="198"/>
      <c r="AF62" s="198"/>
      <c r="AG62" s="198"/>
      <c r="AH62" s="198"/>
      <c r="AI62" s="198"/>
      <c r="AJ62" s="198"/>
      <c r="AK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198"/>
    </row>
    <row r="63" spans="1:84" x14ac:dyDescent="0.25">
      <c r="A63" s="489"/>
      <c r="B63" s="261" t="s">
        <v>71</v>
      </c>
      <c r="C63" s="454">
        <f>IFERROR(INDEX(Codes!$N$11:$AK$48,MATCH($C$57,Codes!$N$11:$N$48,0),MATCH($B63,Codes!$N$11:$AK$11,0)),0)</f>
        <v>37</v>
      </c>
      <c r="D63" s="258">
        <f t="shared" si="1"/>
        <v>0</v>
      </c>
      <c r="E63" s="448">
        <v>35</v>
      </c>
      <c r="F63" s="198"/>
      <c r="G63" s="208" t="s">
        <v>392</v>
      </c>
      <c r="H63" s="209"/>
      <c r="I63" s="389"/>
      <c r="J63" s="448">
        <v>100</v>
      </c>
      <c r="K63" s="209"/>
      <c r="L63" s="209"/>
      <c r="M63" s="111"/>
      <c r="N63" s="15"/>
      <c r="O63" s="15"/>
      <c r="P63" s="15"/>
      <c r="AC63" s="198"/>
      <c r="AD63" s="198"/>
      <c r="AE63" s="198"/>
      <c r="AF63" s="198"/>
      <c r="AG63" s="198"/>
      <c r="AH63" s="198"/>
      <c r="AI63" s="198"/>
      <c r="AJ63" s="198"/>
      <c r="AK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198"/>
    </row>
    <row r="64" spans="1:84" x14ac:dyDescent="0.25">
      <c r="A64" s="489"/>
      <c r="B64" s="261" t="s">
        <v>72</v>
      </c>
      <c r="C64" s="454">
        <f>IFERROR(INDEX(Codes!$N$11:$AK$48,MATCH($C$57,Codes!$N$11:$N$48,0),MATCH($B64,Codes!$N$11:$AK$11,0)),0)</f>
        <v>99</v>
      </c>
      <c r="D64" s="258">
        <f t="shared" si="1"/>
        <v>2</v>
      </c>
      <c r="E64" s="448">
        <v>100</v>
      </c>
      <c r="F64" s="198"/>
      <c r="G64" s="208"/>
      <c r="H64" s="209"/>
      <c r="I64" s="209"/>
      <c r="J64" s="231"/>
      <c r="K64" s="209"/>
      <c r="L64" s="209"/>
      <c r="M64" s="111"/>
      <c r="N64" s="15"/>
      <c r="O64" s="15"/>
      <c r="P64" s="15"/>
      <c r="AC64" s="198"/>
      <c r="AD64" s="198"/>
      <c r="AE64" s="198"/>
      <c r="AF64" s="198"/>
      <c r="AG64" s="198"/>
      <c r="AH64" s="198"/>
      <c r="AI64" s="198"/>
      <c r="AJ64" s="198"/>
      <c r="AK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198"/>
    </row>
    <row r="65" spans="1:84" x14ac:dyDescent="0.25">
      <c r="A65" s="489"/>
      <c r="B65" s="261" t="s">
        <v>73</v>
      </c>
      <c r="C65" s="454">
        <f>IFERROR(INDEX(Codes!$N$11:$AK$48,MATCH($C$57,Codes!$N$11:$N$48,0),MATCH($B65,Codes!$N$11:$AK$11,0)),0)</f>
        <v>78</v>
      </c>
      <c r="D65" s="258"/>
      <c r="E65" s="455">
        <v>0</v>
      </c>
      <c r="F65" s="198"/>
      <c r="G65" s="208" t="s">
        <v>307</v>
      </c>
      <c r="H65" s="209"/>
      <c r="I65" s="209"/>
      <c r="J65" s="217">
        <f>J52-J61-J63</f>
        <v>107</v>
      </c>
      <c r="K65" s="209"/>
      <c r="L65" s="209"/>
      <c r="M65" s="111"/>
      <c r="N65" s="15"/>
      <c r="O65" s="15"/>
      <c r="P65" s="15"/>
      <c r="AC65" s="198"/>
      <c r="AD65" s="198"/>
      <c r="AE65" s="198"/>
      <c r="AF65" s="198"/>
      <c r="AG65" s="198"/>
      <c r="AH65" s="198"/>
      <c r="AI65" s="198"/>
      <c r="AJ65" s="198"/>
      <c r="AK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198"/>
    </row>
    <row r="66" spans="1:84" x14ac:dyDescent="0.25">
      <c r="A66" s="489"/>
      <c r="B66" s="261" t="s">
        <v>74</v>
      </c>
      <c r="C66" s="454">
        <f>IFERROR(INDEX(Codes!$N$11:$AK$48,MATCH($C$57,Codes!$N$11:$N$48,0),MATCH($B66,Codes!$N$11:$AK$11,0)),0)</f>
        <v>39.200000000000003</v>
      </c>
      <c r="D66" s="258"/>
      <c r="E66" s="455">
        <v>0</v>
      </c>
      <c r="F66" s="198"/>
      <c r="G66" s="58" t="s">
        <v>308</v>
      </c>
      <c r="H66" s="194"/>
      <c r="I66" s="194"/>
      <c r="J66" s="22">
        <f>J65*52</f>
        <v>5564</v>
      </c>
      <c r="K66" s="209"/>
      <c r="L66" s="209"/>
      <c r="M66" s="111"/>
      <c r="N66" s="15"/>
      <c r="O66" s="15"/>
      <c r="P66" s="15"/>
      <c r="AC66" s="198"/>
      <c r="AD66" s="198"/>
      <c r="AE66" s="198"/>
      <c r="AF66" s="198"/>
      <c r="AG66" s="198"/>
      <c r="AH66" s="198"/>
      <c r="AI66" s="198"/>
      <c r="AJ66" s="198"/>
      <c r="AK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row>
    <row r="67" spans="1:84" x14ac:dyDescent="0.25">
      <c r="A67" s="489"/>
      <c r="B67" s="261" t="s">
        <v>75</v>
      </c>
      <c r="C67" s="454">
        <f>IFERROR(INDEX(Codes!$N$11:$AK$48,MATCH($C$57,Codes!$N$11:$N$48,0),MATCH($B67,Codes!$N$11:$AK$11,0)),0)</f>
        <v>50.1</v>
      </c>
      <c r="D67" s="258"/>
      <c r="E67" s="455">
        <v>0</v>
      </c>
      <c r="F67" s="198"/>
      <c r="G67" s="198"/>
      <c r="H67" s="198"/>
      <c r="I67" s="198"/>
      <c r="J67" s="198"/>
      <c r="K67" s="209"/>
      <c r="L67" s="209"/>
      <c r="M67" s="111"/>
      <c r="N67" s="15"/>
      <c r="O67" s="15"/>
      <c r="P67" s="15"/>
      <c r="AC67" s="198"/>
      <c r="AD67" s="198"/>
      <c r="AE67" s="198"/>
      <c r="AF67" s="198"/>
      <c r="AG67" s="198"/>
      <c r="AH67" s="198"/>
      <c r="AI67" s="198"/>
      <c r="AJ67" s="198"/>
      <c r="AK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row>
    <row r="68" spans="1:84" x14ac:dyDescent="0.25">
      <c r="A68" s="489"/>
      <c r="B68" s="261" t="s">
        <v>76</v>
      </c>
      <c r="C68" s="454">
        <f>IFERROR(INDEX(Codes!$N$11:$AK$48,MATCH($C$57,Codes!$N$11:$N$48,0),MATCH($B68,Codes!$N$11:$AK$11,0)),0)</f>
        <v>80.3</v>
      </c>
      <c r="D68" s="258">
        <f t="shared" si="1"/>
        <v>0</v>
      </c>
      <c r="E68" s="448">
        <v>72</v>
      </c>
      <c r="F68" s="198"/>
      <c r="G68" s="347" t="s">
        <v>477</v>
      </c>
      <c r="H68" s="390"/>
      <c r="I68" s="391"/>
      <c r="J68" s="393"/>
      <c r="K68" s="392"/>
      <c r="L68" s="392"/>
      <c r="M68" s="111"/>
      <c r="N68" s="15"/>
      <c r="O68" s="15"/>
      <c r="P68" s="15"/>
      <c r="AC68" s="198"/>
      <c r="AD68" s="198"/>
      <c r="AE68" s="198"/>
      <c r="AF68" s="198"/>
      <c r="AG68" s="198"/>
      <c r="AH68" s="198"/>
      <c r="AI68" s="198"/>
      <c r="AJ68" s="198"/>
      <c r="AK68" s="198"/>
      <c r="AL68" s="456"/>
      <c r="AM68" s="43"/>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row>
    <row r="69" spans="1:84" x14ac:dyDescent="0.25">
      <c r="A69" s="489"/>
      <c r="B69" s="261" t="s">
        <v>77</v>
      </c>
      <c r="C69" s="454">
        <f>IFERROR(INDEX(Codes!$N$11:$AK$48,MATCH($C$57,Codes!$N$11:$N$48,0),MATCH($B69,Codes!$N$11:$AK$11,0)),0)</f>
        <v>26.2</v>
      </c>
      <c r="D69" s="258">
        <f t="shared" si="1"/>
        <v>0</v>
      </c>
      <c r="E69" s="448">
        <v>21</v>
      </c>
      <c r="F69" s="198"/>
      <c r="G69" s="497" t="s">
        <v>478</v>
      </c>
      <c r="H69" s="390"/>
      <c r="I69" s="391"/>
      <c r="J69" s="393"/>
      <c r="K69" s="392"/>
      <c r="L69" s="392"/>
      <c r="M69" s="111"/>
      <c r="N69" s="15"/>
      <c r="O69" s="15"/>
      <c r="P69" s="15"/>
      <c r="AC69" s="198"/>
      <c r="AD69" s="198"/>
      <c r="AE69" s="198"/>
      <c r="AF69" s="198"/>
      <c r="AG69" s="198"/>
      <c r="AH69" s="198"/>
      <c r="AI69" s="198"/>
      <c r="AJ69" s="198"/>
      <c r="AK69" s="198"/>
      <c r="AL69" s="456"/>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row>
    <row r="70" spans="1:84" x14ac:dyDescent="0.25">
      <c r="A70" s="489"/>
      <c r="B70" s="261" t="s">
        <v>78</v>
      </c>
      <c r="C70" s="454">
        <f>IFERROR(INDEX(Codes!$N$11:$AK$48,MATCH($C$57,Codes!$N$11:$N$48,0),MATCH($B70,Codes!$N$11:$AK$11,0)),0)</f>
        <v>71</v>
      </c>
      <c r="D70" s="258">
        <f t="shared" si="1"/>
        <v>0</v>
      </c>
      <c r="E70" s="448">
        <v>51</v>
      </c>
      <c r="F70" s="198"/>
      <c r="G70" s="389"/>
      <c r="H70" s="390"/>
      <c r="I70" s="391"/>
      <c r="J70" s="393"/>
      <c r="K70" s="392"/>
      <c r="L70" s="392"/>
      <c r="M70" s="111"/>
      <c r="N70" s="15"/>
      <c r="O70" s="15"/>
      <c r="P70" s="15"/>
      <c r="AC70" s="198"/>
      <c r="AD70" s="198"/>
      <c r="AE70" s="198"/>
      <c r="AF70" s="198"/>
      <c r="AG70" s="198"/>
      <c r="AH70" s="198"/>
      <c r="AI70" s="198"/>
      <c r="AJ70" s="198"/>
      <c r="AK70" s="198"/>
      <c r="AL70" s="456"/>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row>
    <row r="71" spans="1:84" x14ac:dyDescent="0.25">
      <c r="A71" s="489"/>
      <c r="B71" s="261" t="s">
        <v>79</v>
      </c>
      <c r="C71" s="454">
        <f>IFERROR(INDEX(Codes!$N$11:$AK$48,MATCH($C$57,Codes!$N$11:$N$48,0),MATCH($B71,Codes!$N$11:$AK$11,0)),0)</f>
        <v>60.7</v>
      </c>
      <c r="D71" s="258">
        <f t="shared" si="1"/>
        <v>2</v>
      </c>
      <c r="E71" s="448">
        <v>90</v>
      </c>
      <c r="F71" s="198"/>
      <c r="G71" s="389"/>
      <c r="H71" s="390"/>
      <c r="I71" s="391"/>
      <c r="J71" s="393"/>
      <c r="K71" s="392"/>
      <c r="L71" s="392"/>
      <c r="M71" s="111"/>
      <c r="N71" s="15"/>
      <c r="O71" s="15"/>
      <c r="P71" s="15"/>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row>
    <row r="72" spans="1:84" x14ac:dyDescent="0.25">
      <c r="A72" s="489"/>
      <c r="B72" s="261" t="s">
        <v>80</v>
      </c>
      <c r="C72" s="454">
        <f>IFERROR(INDEX(Codes!$N$11:$AK$48,MATCH($C$57,Codes!$N$11:$N$48,0),MATCH($B72,Codes!$N$11:$AK$11,0)),0)</f>
        <v>30.8</v>
      </c>
      <c r="D72" s="258">
        <f t="shared" si="1"/>
        <v>0</v>
      </c>
      <c r="E72" s="448">
        <v>25</v>
      </c>
      <c r="F72" s="198"/>
      <c r="G72" s="389"/>
      <c r="H72" s="390"/>
      <c r="I72" s="391"/>
      <c r="J72" s="393"/>
      <c r="K72" s="392"/>
      <c r="L72" s="111"/>
      <c r="M72" s="111"/>
      <c r="N72" s="15"/>
      <c r="O72" s="15"/>
      <c r="P72" s="15"/>
      <c r="V72" s="456"/>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row>
    <row r="73" spans="1:84" x14ac:dyDescent="0.25">
      <c r="A73" s="489"/>
      <c r="B73" s="261" t="s">
        <v>81</v>
      </c>
      <c r="C73" s="454">
        <f>IFERROR(INDEX(Codes!$N$11:$AK$48,MATCH($C$57,Codes!$N$11:$N$48,0),MATCH($B73,Codes!$N$11:$AK$11,0)),0)</f>
        <v>44</v>
      </c>
      <c r="D73" s="258">
        <f t="shared" si="1"/>
        <v>1</v>
      </c>
      <c r="E73" s="448">
        <v>44</v>
      </c>
      <c r="F73" s="198"/>
      <c r="G73" s="198"/>
      <c r="H73" s="198"/>
      <c r="I73" s="198"/>
      <c r="J73" s="198"/>
      <c r="K73" s="112"/>
      <c r="L73" s="15"/>
      <c r="M73" s="15"/>
      <c r="N73" s="15"/>
      <c r="O73" s="15"/>
      <c r="P73" s="15"/>
      <c r="V73" s="456"/>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row>
    <row r="74" spans="1:84" x14ac:dyDescent="0.25">
      <c r="A74" s="489"/>
      <c r="B74" s="261" t="s">
        <v>82</v>
      </c>
      <c r="C74" s="454"/>
      <c r="D74" s="193"/>
      <c r="E74" s="448">
        <v>0</v>
      </c>
      <c r="F74" s="441"/>
      <c r="G74" s="198"/>
      <c r="H74" s="457"/>
      <c r="I74" s="457"/>
      <c r="J74" s="456"/>
      <c r="K74" s="15"/>
      <c r="L74" s="15"/>
      <c r="M74" s="15"/>
      <c r="N74" s="15"/>
      <c r="O74" s="15"/>
      <c r="P74" s="15"/>
      <c r="V74" s="456"/>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row>
    <row r="75" spans="1:84" x14ac:dyDescent="0.25">
      <c r="A75" s="352"/>
      <c r="B75" s="261" t="s">
        <v>83</v>
      </c>
      <c r="C75" s="454"/>
      <c r="D75" s="193"/>
      <c r="E75" s="448">
        <v>0</v>
      </c>
      <c r="F75" s="198"/>
      <c r="G75" s="198"/>
      <c r="H75" s="457"/>
      <c r="I75" s="457"/>
      <c r="J75" s="456"/>
      <c r="K75" s="15"/>
      <c r="L75" s="15"/>
      <c r="M75" s="15"/>
      <c r="N75" s="15"/>
      <c r="O75" s="15"/>
      <c r="P75" s="15"/>
      <c r="V75" s="456"/>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row>
    <row r="76" spans="1:84" x14ac:dyDescent="0.25">
      <c r="A76" s="352"/>
      <c r="B76" s="458" t="s">
        <v>285</v>
      </c>
      <c r="C76" s="454"/>
      <c r="D76" s="212"/>
      <c r="E76" s="448">
        <v>0</v>
      </c>
      <c r="F76" s="198"/>
      <c r="G76" s="198"/>
      <c r="H76" s="457"/>
      <c r="I76" s="457"/>
      <c r="J76" s="456"/>
      <c r="K76" s="198"/>
      <c r="L76" s="198"/>
      <c r="M76" s="198"/>
      <c r="N76" s="198"/>
      <c r="O76" s="198"/>
      <c r="P76" s="198"/>
      <c r="V76" s="456"/>
      <c r="AC76" s="198"/>
      <c r="AD76" s="457"/>
      <c r="AE76" s="457"/>
      <c r="AF76" s="457"/>
      <c r="AG76" s="457"/>
      <c r="AH76" s="457"/>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row>
    <row r="77" spans="1:84" x14ac:dyDescent="0.25">
      <c r="A77" s="198"/>
      <c r="B77" s="458" t="s">
        <v>285</v>
      </c>
      <c r="C77" s="454"/>
      <c r="D77" s="212"/>
      <c r="E77" s="448">
        <v>0</v>
      </c>
      <c r="F77" s="198"/>
      <c r="G77" s="198"/>
      <c r="H77" s="457"/>
      <c r="I77" s="457"/>
      <c r="J77" s="456"/>
      <c r="K77" s="198"/>
      <c r="L77" s="198"/>
      <c r="M77" s="198"/>
      <c r="N77" s="198"/>
      <c r="O77" s="198"/>
      <c r="P77" s="198"/>
      <c r="V77" s="456"/>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row>
    <row r="78" spans="1:84" x14ac:dyDescent="0.25">
      <c r="A78" s="198"/>
      <c r="B78" s="458" t="s">
        <v>285</v>
      </c>
      <c r="C78" s="454"/>
      <c r="D78" s="212"/>
      <c r="E78" s="448">
        <v>0</v>
      </c>
      <c r="F78" s="198"/>
      <c r="G78" s="198"/>
      <c r="H78" s="457"/>
      <c r="I78" s="457"/>
      <c r="J78" s="456"/>
      <c r="K78" s="198"/>
      <c r="L78" s="198"/>
      <c r="M78" s="198"/>
      <c r="N78" s="198"/>
      <c r="O78" s="198"/>
      <c r="P78" s="198"/>
      <c r="V78" s="456"/>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row>
    <row r="79" spans="1:84" x14ac:dyDescent="0.25">
      <c r="A79" s="198"/>
      <c r="B79" s="458" t="s">
        <v>285</v>
      </c>
      <c r="C79" s="454"/>
      <c r="D79" s="212"/>
      <c r="E79" s="448">
        <v>0</v>
      </c>
      <c r="F79" s="198"/>
      <c r="G79" s="198"/>
      <c r="H79" s="457"/>
      <c r="I79" s="457"/>
      <c r="J79" s="456"/>
      <c r="K79" s="198"/>
      <c r="L79" s="198"/>
      <c r="M79" s="198"/>
      <c r="N79" s="198"/>
      <c r="O79" s="198"/>
      <c r="P79" s="198"/>
      <c r="V79" s="456"/>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row>
    <row r="80" spans="1:84" x14ac:dyDescent="0.25">
      <c r="A80" s="198"/>
      <c r="B80" s="458" t="s">
        <v>285</v>
      </c>
      <c r="C80" s="454"/>
      <c r="D80" s="212"/>
      <c r="E80" s="448">
        <v>0</v>
      </c>
      <c r="F80" s="441"/>
      <c r="G80" s="198"/>
      <c r="H80" s="457"/>
      <c r="I80" s="457"/>
      <c r="J80" s="456"/>
      <c r="K80" s="198"/>
      <c r="L80" s="198"/>
      <c r="M80" s="198"/>
      <c r="N80" s="198"/>
      <c r="O80" s="198"/>
      <c r="P80" s="198"/>
      <c r="V80" s="456"/>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row>
    <row r="81" spans="1:84" x14ac:dyDescent="0.25">
      <c r="A81" s="198"/>
      <c r="B81" s="458" t="s">
        <v>285</v>
      </c>
      <c r="C81" s="454"/>
      <c r="D81" s="212"/>
      <c r="E81" s="448">
        <v>0</v>
      </c>
      <c r="F81" s="19"/>
      <c r="G81" s="198"/>
      <c r="H81" s="457"/>
      <c r="I81" s="457"/>
      <c r="J81" s="456"/>
      <c r="K81" s="198"/>
      <c r="L81" s="198"/>
      <c r="M81" s="198"/>
      <c r="N81" s="198"/>
      <c r="O81" s="198"/>
      <c r="P81" s="198"/>
      <c r="V81" s="456"/>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row>
    <row r="82" spans="1:84" x14ac:dyDescent="0.25">
      <c r="A82" s="198"/>
      <c r="B82" s="332" t="s">
        <v>84</v>
      </c>
      <c r="C82" s="459"/>
      <c r="D82" s="333"/>
      <c r="E82" s="335">
        <f>SUM(E58:E81)</f>
        <v>1141</v>
      </c>
      <c r="F82" s="441"/>
      <c r="G82" s="198"/>
      <c r="H82" s="198"/>
      <c r="I82" s="198"/>
      <c r="J82" s="198"/>
      <c r="K82" s="198"/>
      <c r="L82" s="198"/>
      <c r="M82" s="198"/>
      <c r="N82" s="198"/>
      <c r="O82" s="198"/>
      <c r="P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row>
    <row r="83" spans="1:84" x14ac:dyDescent="0.25">
      <c r="A83" s="198"/>
      <c r="B83" s="261" t="s">
        <v>85</v>
      </c>
      <c r="C83" s="460"/>
      <c r="D83" s="461"/>
      <c r="E83" s="260">
        <f>E55-E82</f>
        <v>237.65384615384619</v>
      </c>
      <c r="F83" s="15"/>
      <c r="G83" s="198"/>
      <c r="H83" s="198"/>
      <c r="I83" s="198"/>
      <c r="J83" s="198"/>
      <c r="K83" s="198"/>
      <c r="L83" s="198"/>
      <c r="M83" s="198"/>
      <c r="N83" s="198"/>
      <c r="O83" s="198"/>
      <c r="P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row>
    <row r="84" spans="1:84" x14ac:dyDescent="0.25">
      <c r="A84" s="198"/>
      <c r="B84" s="113" t="s">
        <v>275</v>
      </c>
      <c r="C84" s="114"/>
      <c r="D84" s="115"/>
      <c r="E84" s="116">
        <f>E83*52</f>
        <v>12358.000000000002</v>
      </c>
      <c r="F84" s="15"/>
      <c r="G84" s="198"/>
      <c r="H84" s="15"/>
      <c r="I84" s="198"/>
      <c r="J84" s="198"/>
      <c r="K84" s="198"/>
      <c r="L84" s="198"/>
      <c r="M84" s="198"/>
      <c r="N84" s="198"/>
      <c r="O84" s="198"/>
      <c r="P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row>
    <row r="85" spans="1:84" s="198" customFormat="1" x14ac:dyDescent="0.25">
      <c r="G85" s="15"/>
      <c r="H85" s="15"/>
    </row>
    <row r="86" spans="1:84" s="198" customFormat="1" x14ac:dyDescent="0.25"/>
    <row r="87" spans="1:84" s="198" customFormat="1" x14ac:dyDescent="0.25">
      <c r="B87" s="163" t="s">
        <v>382</v>
      </c>
    </row>
    <row r="88" spans="1:84" s="198" customFormat="1" x14ac:dyDescent="0.25"/>
    <row r="89" spans="1:84" s="198" customFormat="1" x14ac:dyDescent="0.25">
      <c r="B89" s="445" t="s">
        <v>265</v>
      </c>
    </row>
    <row r="90" spans="1:84" s="198" customFormat="1" x14ac:dyDescent="0.25">
      <c r="B90" s="445"/>
    </row>
    <row r="91" spans="1:84" s="198" customFormat="1" x14ac:dyDescent="0.25">
      <c r="B91" s="445" t="s">
        <v>286</v>
      </c>
    </row>
    <row r="92" spans="1:84" s="198" customFormat="1" x14ac:dyDescent="0.25">
      <c r="B92" s="445" t="s">
        <v>373</v>
      </c>
    </row>
    <row r="93" spans="1:84" s="198" customFormat="1" x14ac:dyDescent="0.25">
      <c r="B93" s="445" t="s">
        <v>374</v>
      </c>
    </row>
    <row r="94" spans="1:84" s="198" customFormat="1" x14ac:dyDescent="0.25">
      <c r="B94" s="445" t="s">
        <v>362</v>
      </c>
    </row>
    <row r="95" spans="1:84" s="198" customFormat="1" x14ac:dyDescent="0.25">
      <c r="B95" s="445" t="s">
        <v>375</v>
      </c>
    </row>
    <row r="96" spans="1:84" s="198" customFormat="1" x14ac:dyDescent="0.25">
      <c r="B96" s="445" t="s">
        <v>365</v>
      </c>
    </row>
    <row r="97" spans="1:284" s="198" customFormat="1" x14ac:dyDescent="0.25">
      <c r="B97" s="445" t="s">
        <v>481</v>
      </c>
    </row>
    <row r="98" spans="1:284" s="198" customFormat="1" x14ac:dyDescent="0.25">
      <c r="B98" s="445"/>
    </row>
    <row r="99" spans="1:284" s="198" customFormat="1" x14ac:dyDescent="0.25">
      <c r="B99" s="536" t="s">
        <v>411</v>
      </c>
    </row>
    <row r="100" spans="1:284" s="198" customFormat="1" x14ac:dyDescent="0.25"/>
    <row r="101" spans="1:284" s="198" customFormat="1" x14ac:dyDescent="0.25">
      <c r="B101" s="395"/>
      <c r="C101" s="162"/>
      <c r="D101" s="162"/>
      <c r="E101" s="462" t="s">
        <v>86</v>
      </c>
      <c r="F101" s="463" t="s">
        <v>87</v>
      </c>
      <c r="G101" s="463" t="s">
        <v>87</v>
      </c>
      <c r="H101" s="463" t="s">
        <v>87</v>
      </c>
      <c r="I101" s="463" t="s">
        <v>87</v>
      </c>
      <c r="J101" s="463" t="s">
        <v>87</v>
      </c>
      <c r="K101" s="463" t="s">
        <v>87</v>
      </c>
      <c r="L101" s="463" t="s">
        <v>87</v>
      </c>
      <c r="M101" s="463" t="s">
        <v>87</v>
      </c>
      <c r="N101" s="463" t="s">
        <v>87</v>
      </c>
      <c r="O101" s="463" t="s">
        <v>87</v>
      </c>
      <c r="P101" s="463" t="s">
        <v>87</v>
      </c>
      <c r="Q101" s="463" t="s">
        <v>87</v>
      </c>
      <c r="R101" s="463" t="s">
        <v>87</v>
      </c>
      <c r="S101" s="463" t="s">
        <v>87</v>
      </c>
      <c r="T101" s="560" t="s">
        <v>87</v>
      </c>
      <c r="U101" s="561"/>
    </row>
    <row r="102" spans="1:284" s="198" customFormat="1" x14ac:dyDescent="0.25">
      <c r="B102" s="464"/>
      <c r="C102" s="358"/>
      <c r="D102" s="359"/>
      <c r="E102" s="465" t="s">
        <v>88</v>
      </c>
      <c r="F102" s="466">
        <v>1</v>
      </c>
      <c r="G102" s="466">
        <v>2</v>
      </c>
      <c r="H102" s="466">
        <v>3</v>
      </c>
      <c r="I102" s="466">
        <v>4</v>
      </c>
      <c r="J102" s="466">
        <v>5</v>
      </c>
      <c r="K102" s="466">
        <v>6</v>
      </c>
      <c r="L102" s="466">
        <v>7</v>
      </c>
      <c r="M102" s="466">
        <v>8</v>
      </c>
      <c r="N102" s="466">
        <v>9</v>
      </c>
      <c r="O102" s="466">
        <v>10</v>
      </c>
      <c r="P102" s="466">
        <v>11</v>
      </c>
      <c r="Q102" s="466">
        <v>12</v>
      </c>
      <c r="R102" s="466">
        <v>13</v>
      </c>
      <c r="S102" s="466">
        <v>14</v>
      </c>
      <c r="T102" s="467">
        <v>15</v>
      </c>
      <c r="U102" s="562"/>
      <c r="V102" s="209"/>
    </row>
    <row r="103" spans="1:284" x14ac:dyDescent="0.25">
      <c r="A103" s="198"/>
      <c r="B103" s="118" t="s">
        <v>309</v>
      </c>
      <c r="C103" s="762" t="s">
        <v>359</v>
      </c>
      <c r="D103" s="763"/>
      <c r="E103" s="360"/>
      <c r="F103" s="119"/>
      <c r="G103" s="119"/>
      <c r="H103" s="119"/>
      <c r="I103" s="119"/>
      <c r="J103" s="119"/>
      <c r="K103" s="119"/>
      <c r="L103" s="119"/>
      <c r="M103" s="119"/>
      <c r="N103" s="119"/>
      <c r="O103" s="119"/>
      <c r="P103" s="119"/>
      <c r="Q103" s="119"/>
      <c r="R103" s="119"/>
      <c r="S103" s="119"/>
      <c r="T103" s="120"/>
      <c r="U103" s="563"/>
      <c r="V103" s="209"/>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8"/>
      <c r="IZ103" s="198"/>
      <c r="JA103" s="198"/>
      <c r="JB103" s="198"/>
      <c r="JC103" s="198"/>
      <c r="JD103" s="198"/>
      <c r="JE103" s="198"/>
      <c r="JF103" s="198"/>
      <c r="JG103" s="198"/>
      <c r="JH103" s="198"/>
      <c r="JI103" s="198"/>
      <c r="JJ103" s="198"/>
      <c r="JK103" s="198"/>
      <c r="JL103" s="198"/>
      <c r="JM103" s="198"/>
      <c r="JN103" s="198"/>
      <c r="JO103" s="198"/>
      <c r="JP103" s="198"/>
      <c r="JQ103" s="198"/>
      <c r="JR103" s="198"/>
      <c r="JS103" s="198"/>
      <c r="JT103" s="198"/>
      <c r="JU103" s="198"/>
      <c r="JV103" s="198"/>
      <c r="JW103" s="198"/>
      <c r="JX103" s="198"/>
    </row>
    <row r="104" spans="1:284" x14ac:dyDescent="0.25">
      <c r="A104" s="198"/>
      <c r="B104" s="67" t="s">
        <v>335</v>
      </c>
      <c r="C104" s="769">
        <v>0.02</v>
      </c>
      <c r="D104" s="770"/>
      <c r="E104" s="582">
        <f>E37</f>
        <v>650000</v>
      </c>
      <c r="F104" s="117">
        <f>E104*(1+$C$104)</f>
        <v>663000</v>
      </c>
      <c r="G104" s="117">
        <f t="shared" ref="G104:T104" si="2">F104*(1+$C$104)</f>
        <v>676260</v>
      </c>
      <c r="H104" s="117">
        <f t="shared" si="2"/>
        <v>689785.20000000007</v>
      </c>
      <c r="I104" s="117">
        <f t="shared" si="2"/>
        <v>703580.9040000001</v>
      </c>
      <c r="J104" s="117">
        <f t="shared" si="2"/>
        <v>717652.52208000014</v>
      </c>
      <c r="K104" s="117">
        <f t="shared" si="2"/>
        <v>732005.57252160017</v>
      </c>
      <c r="L104" s="117">
        <f t="shared" si="2"/>
        <v>746645.68397203216</v>
      </c>
      <c r="M104" s="117">
        <f t="shared" si="2"/>
        <v>761578.59765147278</v>
      </c>
      <c r="N104" s="117">
        <f t="shared" si="2"/>
        <v>776810.16960450227</v>
      </c>
      <c r="O104" s="117">
        <f t="shared" si="2"/>
        <v>792346.37299659231</v>
      </c>
      <c r="P104" s="117">
        <f t="shared" si="2"/>
        <v>808193.30045652413</v>
      </c>
      <c r="Q104" s="117">
        <f t="shared" si="2"/>
        <v>824357.16646565462</v>
      </c>
      <c r="R104" s="117">
        <f t="shared" si="2"/>
        <v>840844.30979496776</v>
      </c>
      <c r="S104" s="117">
        <f t="shared" si="2"/>
        <v>857661.1959908671</v>
      </c>
      <c r="T104" s="475">
        <f t="shared" si="2"/>
        <v>874814.41991068446</v>
      </c>
      <c r="U104" s="564"/>
      <c r="V104" s="209"/>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8"/>
      <c r="IZ104" s="198"/>
      <c r="JA104" s="198"/>
      <c r="JB104" s="198"/>
      <c r="JC104" s="198"/>
      <c r="JD104" s="198"/>
      <c r="JE104" s="198"/>
      <c r="JF104" s="198"/>
      <c r="JG104" s="198"/>
      <c r="JH104" s="198"/>
      <c r="JI104" s="198"/>
      <c r="JJ104" s="198"/>
      <c r="JK104" s="198"/>
      <c r="JL104" s="198"/>
      <c r="JM104" s="198"/>
      <c r="JN104" s="198"/>
      <c r="JO104" s="198"/>
      <c r="JP104" s="198"/>
      <c r="JQ104" s="198"/>
      <c r="JR104" s="198"/>
      <c r="JS104" s="198"/>
      <c r="JT104" s="198"/>
      <c r="JU104" s="198"/>
      <c r="JV104" s="198"/>
      <c r="JW104" s="198"/>
      <c r="JX104" s="198"/>
    </row>
    <row r="105" spans="1:284" s="198" customFormat="1" x14ac:dyDescent="0.25">
      <c r="B105" s="67" t="s">
        <v>89</v>
      </c>
      <c r="C105" s="209"/>
      <c r="D105" s="209"/>
      <c r="E105" s="361">
        <f>E37</f>
        <v>650000</v>
      </c>
      <c r="F105" s="117">
        <f>IF($E$38=Codes!$H$2,'AHM - Rent to Buy'!F104,'AHM - Rent to Buy'!$E$39)</f>
        <v>663000</v>
      </c>
      <c r="G105" s="117">
        <f>IF($E$38=Codes!$H$2,'AHM - Rent to Buy'!G104,'AHM - Rent to Buy'!$E$39)</f>
        <v>676260</v>
      </c>
      <c r="H105" s="117">
        <f>IF($E$38=Codes!$H$2,'AHM - Rent to Buy'!H104,'AHM - Rent to Buy'!$E$39)</f>
        <v>689785.20000000007</v>
      </c>
      <c r="I105" s="117">
        <f>IF($E$38=Codes!$H$2,'AHM - Rent to Buy'!I104,'AHM - Rent to Buy'!$E$39)</f>
        <v>703580.9040000001</v>
      </c>
      <c r="J105" s="117">
        <f>IF($E$38=Codes!$H$2,'AHM - Rent to Buy'!J104,'AHM - Rent to Buy'!$E$39)</f>
        <v>717652.52208000014</v>
      </c>
      <c r="K105" s="117">
        <f>IF($E$38=Codes!$H$2,'AHM - Rent to Buy'!K104,'AHM - Rent to Buy'!$E$39)</f>
        <v>732005.57252160017</v>
      </c>
      <c r="L105" s="117">
        <f>IF($E$38=Codes!$H$2,'AHM - Rent to Buy'!L104,'AHM - Rent to Buy'!$E$39)</f>
        <v>746645.68397203216</v>
      </c>
      <c r="M105" s="117">
        <f>IF($E$38=Codes!$H$2,'AHM - Rent to Buy'!M104,'AHM - Rent to Buy'!$E$39)</f>
        <v>761578.59765147278</v>
      </c>
      <c r="N105" s="117">
        <f>IF($E$38=Codes!$H$2,'AHM - Rent to Buy'!N104,'AHM - Rent to Buy'!$E$39)</f>
        <v>776810.16960450227</v>
      </c>
      <c r="O105" s="117">
        <f>IF($E$38=Codes!$H$2,'AHM - Rent to Buy'!O104,'AHM - Rent to Buy'!$E$39)</f>
        <v>792346.37299659231</v>
      </c>
      <c r="P105" s="117">
        <f>IF($E$38=Codes!$H$2,'AHM - Rent to Buy'!P104,'AHM - Rent to Buy'!$E$39)</f>
        <v>808193.30045652413</v>
      </c>
      <c r="Q105" s="117">
        <f>IF($E$38=Codes!$H$2,'AHM - Rent to Buy'!Q104,'AHM - Rent to Buy'!$E$39)</f>
        <v>824357.16646565462</v>
      </c>
      <c r="R105" s="117">
        <f>IF($E$38=Codes!$H$2,'AHM - Rent to Buy'!R104,'AHM - Rent to Buy'!$E$39)</f>
        <v>840844.30979496776</v>
      </c>
      <c r="S105" s="117">
        <f>IF($E$38=Codes!$H$2,'AHM - Rent to Buy'!S104,'AHM - Rent to Buy'!$E$39)</f>
        <v>857661.1959908671</v>
      </c>
      <c r="T105" s="475">
        <f>IF($E$38=Codes!$H$2,'AHM - Rent to Buy'!T104,'AHM - Rent to Buy'!$E$39)</f>
        <v>874814.41991068446</v>
      </c>
      <c r="U105" s="562"/>
      <c r="V105" s="209"/>
    </row>
    <row r="106" spans="1:284" s="198" customFormat="1" x14ac:dyDescent="0.25">
      <c r="B106" s="67"/>
      <c r="C106" s="402"/>
      <c r="D106" s="209"/>
      <c r="E106" s="461"/>
      <c r="F106" s="117"/>
      <c r="G106" s="117"/>
      <c r="H106" s="117"/>
      <c r="I106" s="117"/>
      <c r="J106" s="117"/>
      <c r="K106" s="117"/>
      <c r="L106" s="117"/>
      <c r="M106" s="117"/>
      <c r="N106" s="117"/>
      <c r="O106" s="117"/>
      <c r="P106" s="117"/>
      <c r="Q106" s="117"/>
      <c r="R106" s="117"/>
      <c r="S106" s="117"/>
      <c r="T106" s="105"/>
      <c r="U106" s="562"/>
      <c r="V106" s="209"/>
      <c r="Y106" s="559"/>
    </row>
    <row r="107" spans="1:284" s="198" customFormat="1" x14ac:dyDescent="0.25">
      <c r="B107" s="208" t="s">
        <v>310</v>
      </c>
      <c r="C107" s="764" t="s">
        <v>360</v>
      </c>
      <c r="D107" s="764"/>
      <c r="E107" s="461"/>
      <c r="F107" s="468">
        <f>F104-$E$105</f>
        <v>13000</v>
      </c>
      <c r="G107" s="468">
        <f>G104-$E$105</f>
        <v>26260</v>
      </c>
      <c r="H107" s="468">
        <f t="shared" ref="H107:T107" si="3">H104-$E$105</f>
        <v>39785.20000000007</v>
      </c>
      <c r="I107" s="468">
        <f t="shared" si="3"/>
        <v>53580.904000000097</v>
      </c>
      <c r="J107" s="468">
        <f t="shared" si="3"/>
        <v>67652.522080000141</v>
      </c>
      <c r="K107" s="468">
        <f t="shared" si="3"/>
        <v>82005.572521600174</v>
      </c>
      <c r="L107" s="468">
        <f t="shared" si="3"/>
        <v>96645.683972032159</v>
      </c>
      <c r="M107" s="468">
        <f t="shared" si="3"/>
        <v>111578.59765147278</v>
      </c>
      <c r="N107" s="468">
        <f t="shared" si="3"/>
        <v>126810.16960450227</v>
      </c>
      <c r="O107" s="468">
        <f t="shared" si="3"/>
        <v>142346.37299659231</v>
      </c>
      <c r="P107" s="468">
        <f t="shared" si="3"/>
        <v>158193.30045652413</v>
      </c>
      <c r="Q107" s="468">
        <f t="shared" si="3"/>
        <v>174357.16646565462</v>
      </c>
      <c r="R107" s="468">
        <f t="shared" si="3"/>
        <v>190844.30979496776</v>
      </c>
      <c r="S107" s="468">
        <f t="shared" si="3"/>
        <v>207661.1959908671</v>
      </c>
      <c r="T107" s="476">
        <f t="shared" si="3"/>
        <v>224814.41991068446</v>
      </c>
      <c r="U107" s="562"/>
      <c r="V107" s="209"/>
    </row>
    <row r="108" spans="1:284" s="198" customFormat="1" x14ac:dyDescent="0.25">
      <c r="B108" s="208" t="s">
        <v>311</v>
      </c>
      <c r="C108" s="769">
        <v>0.5</v>
      </c>
      <c r="D108" s="770"/>
      <c r="E108" s="363"/>
      <c r="F108" s="468">
        <f>F107*$C$108</f>
        <v>6500</v>
      </c>
      <c r="G108" s="468">
        <f t="shared" ref="G108:T108" si="4">G107*$C$108</f>
        <v>13130</v>
      </c>
      <c r="H108" s="468">
        <f t="shared" si="4"/>
        <v>19892.600000000035</v>
      </c>
      <c r="I108" s="468">
        <f t="shared" si="4"/>
        <v>26790.452000000048</v>
      </c>
      <c r="J108" s="468">
        <f t="shared" si="4"/>
        <v>33826.26104000007</v>
      </c>
      <c r="K108" s="468">
        <f t="shared" si="4"/>
        <v>41002.786260800087</v>
      </c>
      <c r="L108" s="468">
        <f t="shared" si="4"/>
        <v>48322.841986016079</v>
      </c>
      <c r="M108" s="468">
        <f t="shared" si="4"/>
        <v>55789.29882573639</v>
      </c>
      <c r="N108" s="468">
        <f t="shared" si="4"/>
        <v>63405.084802251135</v>
      </c>
      <c r="O108" s="468">
        <f>O107*$C$108</f>
        <v>71173.186498296156</v>
      </c>
      <c r="P108" s="468">
        <f t="shared" si="4"/>
        <v>79096.650228262064</v>
      </c>
      <c r="Q108" s="468">
        <f t="shared" si="4"/>
        <v>87178.58323282731</v>
      </c>
      <c r="R108" s="468">
        <f t="shared" si="4"/>
        <v>95422.154897483881</v>
      </c>
      <c r="S108" s="468">
        <f t="shared" si="4"/>
        <v>103830.59799543355</v>
      </c>
      <c r="T108" s="476">
        <f t="shared" si="4"/>
        <v>112407.20995534223</v>
      </c>
      <c r="U108" s="562"/>
      <c r="V108" s="209"/>
    </row>
    <row r="109" spans="1:284" s="198" customFormat="1" x14ac:dyDescent="0.25">
      <c r="B109" s="208" t="s">
        <v>312</v>
      </c>
      <c r="C109" s="769">
        <v>0.5</v>
      </c>
      <c r="D109" s="770"/>
      <c r="E109" s="461"/>
      <c r="F109" s="468">
        <f>F107*$C$109</f>
        <v>6500</v>
      </c>
      <c r="G109" s="468">
        <f t="shared" ref="G109:T109" si="5">G107*$C$109</f>
        <v>13130</v>
      </c>
      <c r="H109" s="468">
        <f t="shared" si="5"/>
        <v>19892.600000000035</v>
      </c>
      <c r="I109" s="468">
        <f t="shared" si="5"/>
        <v>26790.452000000048</v>
      </c>
      <c r="J109" s="468">
        <f t="shared" si="5"/>
        <v>33826.26104000007</v>
      </c>
      <c r="K109" s="468">
        <f t="shared" si="5"/>
        <v>41002.786260800087</v>
      </c>
      <c r="L109" s="468">
        <f t="shared" si="5"/>
        <v>48322.841986016079</v>
      </c>
      <c r="M109" s="468">
        <f t="shared" si="5"/>
        <v>55789.29882573639</v>
      </c>
      <c r="N109" s="468">
        <f t="shared" si="5"/>
        <v>63405.084802251135</v>
      </c>
      <c r="O109" s="468">
        <f t="shared" si="5"/>
        <v>71173.186498296156</v>
      </c>
      <c r="P109" s="468">
        <f t="shared" si="5"/>
        <v>79096.650228262064</v>
      </c>
      <c r="Q109" s="468">
        <f t="shared" si="5"/>
        <v>87178.58323282731</v>
      </c>
      <c r="R109" s="468">
        <f t="shared" si="5"/>
        <v>95422.154897483881</v>
      </c>
      <c r="S109" s="468">
        <f t="shared" si="5"/>
        <v>103830.59799543355</v>
      </c>
      <c r="T109" s="476">
        <f t="shared" si="5"/>
        <v>112407.20995534223</v>
      </c>
      <c r="U109" s="562"/>
      <c r="V109" s="209"/>
    </row>
    <row r="110" spans="1:284" s="320" customFormat="1" x14ac:dyDescent="0.25">
      <c r="A110" s="15"/>
      <c r="B110" s="106"/>
      <c r="C110" s="203"/>
      <c r="D110" s="362"/>
      <c r="E110" s="363"/>
      <c r="F110" s="128"/>
      <c r="G110" s="128"/>
      <c r="H110" s="128"/>
      <c r="I110" s="128"/>
      <c r="J110" s="128"/>
      <c r="K110" s="128"/>
      <c r="L110" s="128"/>
      <c r="M110" s="128"/>
      <c r="N110" s="128"/>
      <c r="O110" s="128"/>
      <c r="P110" s="128"/>
      <c r="Q110" s="128"/>
      <c r="R110" s="128"/>
      <c r="S110" s="128"/>
      <c r="T110" s="129"/>
      <c r="U110" s="15"/>
      <c r="V110" s="203"/>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c r="IG110" s="15"/>
      <c r="IH110" s="15"/>
      <c r="II110" s="15"/>
      <c r="IJ110" s="15"/>
      <c r="IK110" s="15"/>
      <c r="IL110" s="15"/>
      <c r="IM110" s="15"/>
      <c r="IN110" s="15"/>
      <c r="IO110" s="15"/>
      <c r="IP110" s="15"/>
      <c r="IQ110" s="15"/>
      <c r="IR110" s="15"/>
      <c r="IS110" s="15"/>
      <c r="IT110" s="15"/>
      <c r="IU110" s="15"/>
      <c r="IV110" s="15"/>
      <c r="IW110" s="15"/>
      <c r="IX110" s="15"/>
      <c r="IY110" s="15"/>
      <c r="IZ110" s="15"/>
      <c r="JA110" s="15"/>
      <c r="JB110" s="15"/>
      <c r="JC110" s="15"/>
      <c r="JD110" s="15"/>
      <c r="JE110" s="15"/>
      <c r="JF110" s="15"/>
      <c r="JG110" s="15"/>
      <c r="JH110" s="15"/>
      <c r="JI110" s="15"/>
      <c r="JJ110" s="15"/>
      <c r="JK110" s="15"/>
      <c r="JL110" s="15"/>
      <c r="JM110" s="15"/>
      <c r="JN110" s="15"/>
      <c r="JO110" s="15"/>
      <c r="JP110" s="15"/>
      <c r="JQ110" s="15"/>
      <c r="JR110" s="15"/>
      <c r="JS110" s="15"/>
      <c r="JT110" s="15"/>
      <c r="JU110" s="15"/>
      <c r="JV110" s="15"/>
      <c r="JW110" s="15"/>
      <c r="JX110" s="15"/>
    </row>
    <row r="111" spans="1:284" s="320" customFormat="1" x14ac:dyDescent="0.25">
      <c r="A111" s="15"/>
      <c r="B111" s="106" t="s">
        <v>313</v>
      </c>
      <c r="C111" s="203"/>
      <c r="D111" s="203"/>
      <c r="E111" s="461"/>
      <c r="F111" s="469">
        <f>$E$84*(1+$C$120)</f>
        <v>12605.160000000002</v>
      </c>
      <c r="G111" s="470">
        <f>F111+($E$84*((1+$C$120)^G102))</f>
        <v>25462.423200000005</v>
      </c>
      <c r="H111" s="470">
        <f t="shared" ref="H111:T111" si="6">G111+($E$84*((1+$C$120)^H102))</f>
        <v>38576.831664000005</v>
      </c>
      <c r="I111" s="470">
        <f t="shared" si="6"/>
        <v>51953.528297280005</v>
      </c>
      <c r="J111" s="470">
        <f t="shared" si="6"/>
        <v>65597.758863225608</v>
      </c>
      <c r="K111" s="470">
        <f t="shared" si="6"/>
        <v>79514.874040490118</v>
      </c>
      <c r="L111" s="470">
        <f t="shared" si="6"/>
        <v>93710.331521299915</v>
      </c>
      <c r="M111" s="470">
        <f t="shared" si="6"/>
        <v>108189.69815172591</v>
      </c>
      <c r="N111" s="470">
        <f t="shared" si="6"/>
        <v>122958.65211476044</v>
      </c>
      <c r="O111" s="470">
        <f t="shared" si="6"/>
        <v>138022.98515705563</v>
      </c>
      <c r="P111" s="470">
        <f t="shared" si="6"/>
        <v>153388.60486019673</v>
      </c>
      <c r="Q111" s="470">
        <f t="shared" si="6"/>
        <v>169061.53695740068</v>
      </c>
      <c r="R111" s="470">
        <f t="shared" si="6"/>
        <v>185047.92769654869</v>
      </c>
      <c r="S111" s="470">
        <f t="shared" si="6"/>
        <v>201354.04625047967</v>
      </c>
      <c r="T111" s="477">
        <f t="shared" si="6"/>
        <v>217986.28717548927</v>
      </c>
      <c r="U111" s="15"/>
      <c r="V111" s="203"/>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c r="IG111" s="15"/>
      <c r="IH111" s="15"/>
      <c r="II111" s="15"/>
      <c r="IJ111" s="15"/>
      <c r="IK111" s="15"/>
      <c r="IL111" s="15"/>
      <c r="IM111" s="15"/>
      <c r="IN111" s="15"/>
      <c r="IO111" s="15"/>
      <c r="IP111" s="15"/>
      <c r="IQ111" s="15"/>
      <c r="IR111" s="15"/>
      <c r="IS111" s="15"/>
      <c r="IT111" s="15"/>
      <c r="IU111" s="15"/>
      <c r="IV111" s="15"/>
      <c r="IW111" s="15"/>
      <c r="IX111" s="15"/>
      <c r="IY111" s="15"/>
      <c r="IZ111" s="15"/>
      <c r="JA111" s="15"/>
      <c r="JB111" s="15"/>
      <c r="JC111" s="15"/>
      <c r="JD111" s="15"/>
      <c r="JE111" s="15"/>
      <c r="JF111" s="15"/>
      <c r="JG111" s="15"/>
      <c r="JH111" s="15"/>
      <c r="JI111" s="15"/>
      <c r="JJ111" s="15"/>
      <c r="JK111" s="15"/>
      <c r="JL111" s="15"/>
      <c r="JM111" s="15"/>
      <c r="JN111" s="15"/>
      <c r="JO111" s="15"/>
      <c r="JP111" s="15"/>
      <c r="JQ111" s="15"/>
      <c r="JR111" s="15"/>
      <c r="JS111" s="15"/>
      <c r="JT111" s="15"/>
      <c r="JU111" s="15"/>
      <c r="JV111" s="15"/>
      <c r="JW111" s="15"/>
      <c r="JX111" s="15"/>
    </row>
    <row r="112" spans="1:284" s="320" customFormat="1" x14ac:dyDescent="0.25">
      <c r="A112" s="15"/>
      <c r="B112" s="106" t="s">
        <v>314</v>
      </c>
      <c r="C112" s="773"/>
      <c r="D112" s="774"/>
      <c r="E112" s="461"/>
      <c r="F112" s="469">
        <f>$J$66*(1+$C$120)</f>
        <v>5675.28</v>
      </c>
      <c r="G112" s="469">
        <f>F112+($J$66*((1+$C$120)^G102))</f>
        <v>11464.0656</v>
      </c>
      <c r="H112" s="469">
        <f>G112+($J$66*((1+$C$120)^H102))</f>
        <v>17368.626912</v>
      </c>
      <c r="I112" s="469">
        <f>H112+($J$66*((1+$C$120)^I102))</f>
        <v>23391.279450239999</v>
      </c>
      <c r="J112" s="469">
        <f t="shared" ref="J112:T112" si="7">I112+($J$66*((1+$C$120)^J102))</f>
        <v>29534.3850392448</v>
      </c>
      <c r="K112" s="469">
        <f t="shared" si="7"/>
        <v>35800.352740029695</v>
      </c>
      <c r="L112" s="469">
        <f t="shared" si="7"/>
        <v>42191.639794830291</v>
      </c>
      <c r="M112" s="469">
        <f t="shared" si="7"/>
        <v>48710.752590726894</v>
      </c>
      <c r="N112" s="469">
        <f t="shared" si="7"/>
        <v>55360.247642541435</v>
      </c>
      <c r="O112" s="469">
        <f t="shared" si="7"/>
        <v>62142.732595392263</v>
      </c>
      <c r="P112" s="469">
        <f t="shared" si="7"/>
        <v>69060.867247300106</v>
      </c>
      <c r="Q112" s="469">
        <f t="shared" si="7"/>
        <v>76117.364592246115</v>
      </c>
      <c r="R112" s="469">
        <f t="shared" si="7"/>
        <v>83314.99188409104</v>
      </c>
      <c r="S112" s="469">
        <f t="shared" si="7"/>
        <v>90656.571721772867</v>
      </c>
      <c r="T112" s="471">
        <f t="shared" si="7"/>
        <v>98144.983156208327</v>
      </c>
      <c r="U112" s="15"/>
      <c r="V112" s="203"/>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c r="IG112" s="15"/>
      <c r="IH112" s="15"/>
      <c r="II112" s="15"/>
      <c r="IJ112" s="15"/>
      <c r="IK112" s="15"/>
      <c r="IL112" s="15"/>
      <c r="IM112" s="15"/>
      <c r="IN112" s="15"/>
      <c r="IO112" s="15"/>
      <c r="IP112" s="15"/>
      <c r="IQ112" s="15"/>
      <c r="IR112" s="15"/>
      <c r="IS112" s="15"/>
      <c r="IT112" s="15"/>
      <c r="IU112" s="15"/>
      <c r="IV112" s="15"/>
      <c r="IW112" s="15"/>
      <c r="IX112" s="15"/>
      <c r="IY112" s="15"/>
      <c r="IZ112" s="15"/>
      <c r="JA112" s="15"/>
      <c r="JB112" s="15"/>
      <c r="JC112" s="15"/>
      <c r="JD112" s="15"/>
      <c r="JE112" s="15"/>
      <c r="JF112" s="15"/>
      <c r="JG112" s="15"/>
      <c r="JH112" s="15"/>
      <c r="JI112" s="15"/>
      <c r="JJ112" s="15"/>
      <c r="JK112" s="15"/>
      <c r="JL112" s="15"/>
      <c r="JM112" s="15"/>
      <c r="JN112" s="15"/>
      <c r="JO112" s="15"/>
      <c r="JP112" s="15"/>
      <c r="JQ112" s="15"/>
      <c r="JR112" s="15"/>
      <c r="JS112" s="15"/>
      <c r="JT112" s="15"/>
      <c r="JU112" s="15"/>
      <c r="JV112" s="15"/>
      <c r="JW112" s="15"/>
      <c r="JX112" s="15"/>
    </row>
    <row r="113" spans="1:284" s="320" customFormat="1" x14ac:dyDescent="0.25">
      <c r="A113" s="15"/>
      <c r="B113" s="106" t="s">
        <v>482</v>
      </c>
      <c r="C113" s="302"/>
      <c r="D113" s="123"/>
      <c r="E113" s="461">
        <f>E43</f>
        <v>5000</v>
      </c>
      <c r="F113" s="468">
        <f>E113</f>
        <v>5000</v>
      </c>
      <c r="G113" s="468">
        <f t="shared" ref="G113:T113" si="8">F113</f>
        <v>5000</v>
      </c>
      <c r="H113" s="468">
        <f t="shared" si="8"/>
        <v>5000</v>
      </c>
      <c r="I113" s="468">
        <f t="shared" si="8"/>
        <v>5000</v>
      </c>
      <c r="J113" s="468">
        <f t="shared" si="8"/>
        <v>5000</v>
      </c>
      <c r="K113" s="468">
        <f t="shared" si="8"/>
        <v>5000</v>
      </c>
      <c r="L113" s="468">
        <f t="shared" si="8"/>
        <v>5000</v>
      </c>
      <c r="M113" s="468">
        <f t="shared" si="8"/>
        <v>5000</v>
      </c>
      <c r="N113" s="468">
        <f t="shared" si="8"/>
        <v>5000</v>
      </c>
      <c r="O113" s="468">
        <f t="shared" si="8"/>
        <v>5000</v>
      </c>
      <c r="P113" s="468">
        <f t="shared" si="8"/>
        <v>5000</v>
      </c>
      <c r="Q113" s="468">
        <f t="shared" si="8"/>
        <v>5000</v>
      </c>
      <c r="R113" s="468">
        <f t="shared" si="8"/>
        <v>5000</v>
      </c>
      <c r="S113" s="468">
        <f t="shared" si="8"/>
        <v>5000</v>
      </c>
      <c r="T113" s="476">
        <f t="shared" si="8"/>
        <v>5000</v>
      </c>
      <c r="U113" s="15"/>
      <c r="V113" s="203"/>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c r="IG113" s="15"/>
      <c r="IH113" s="15"/>
      <c r="II113" s="15"/>
      <c r="IJ113" s="15"/>
      <c r="IK113" s="15"/>
      <c r="IL113" s="15"/>
      <c r="IM113" s="15"/>
      <c r="IN113" s="15"/>
      <c r="IO113" s="15"/>
      <c r="IP113" s="15"/>
      <c r="IQ113" s="15"/>
      <c r="IR113" s="15"/>
      <c r="IS113" s="15"/>
      <c r="IT113" s="15"/>
      <c r="IU113" s="15"/>
      <c r="IV113" s="15"/>
      <c r="IW113" s="15"/>
      <c r="IX113" s="15"/>
      <c r="IY113" s="15"/>
      <c r="IZ113" s="15"/>
      <c r="JA113" s="15"/>
      <c r="JB113" s="15"/>
      <c r="JC113" s="15"/>
      <c r="JD113" s="15"/>
      <c r="JE113" s="15"/>
      <c r="JF113" s="15"/>
      <c r="JG113" s="15"/>
      <c r="JH113" s="15"/>
      <c r="JI113" s="15"/>
      <c r="JJ113" s="15"/>
      <c r="JK113" s="15"/>
      <c r="JL113" s="15"/>
      <c r="JM113" s="15"/>
      <c r="JN113" s="15"/>
      <c r="JO113" s="15"/>
      <c r="JP113" s="15"/>
      <c r="JQ113" s="15"/>
      <c r="JR113" s="15"/>
      <c r="JS113" s="15"/>
      <c r="JT113" s="15"/>
      <c r="JU113" s="15"/>
      <c r="JV113" s="15"/>
      <c r="JW113" s="15"/>
      <c r="JX113" s="15"/>
    </row>
    <row r="114" spans="1:284" s="320" customFormat="1" x14ac:dyDescent="0.25">
      <c r="A114" s="15"/>
      <c r="B114" s="106" t="s">
        <v>315</v>
      </c>
      <c r="C114" s="302"/>
      <c r="D114" s="123"/>
      <c r="E114" s="364">
        <f>E44</f>
        <v>20000</v>
      </c>
      <c r="F114" s="121">
        <f>(($C$27*$D$27)+($C$28*$D$28)+($C$29*$D$29)+($C$30*$D$30))+(F120*3%)+E114</f>
        <v>26060</v>
      </c>
      <c r="G114" s="121">
        <f>(($C$27*$D$27)+($C$28*$D$28)+($C$29*$D$29)+($C$30*$D$30))+(G120*3%)+F114</f>
        <v>32181.200000000001</v>
      </c>
      <c r="H114" s="121">
        <f>(($C$27*$D$27)+($C$28*$D$28)+($C$29*$D$29)+($C$30*$D$30))+(H120*3%)+G114</f>
        <v>38364.824000000001</v>
      </c>
      <c r="I114" s="121">
        <f t="shared" ref="I114:T114" si="9">(($C$27*$D$27)+($C$28*$D$28)+($C$29*$D$29)+($C$30*$D$30))+(I120*3%)+H114</f>
        <v>44612.120479999998</v>
      </c>
      <c r="J114" s="121">
        <f t="shared" si="9"/>
        <v>50924.362889600001</v>
      </c>
      <c r="K114" s="121">
        <f t="shared" si="9"/>
        <v>57302.850147392004</v>
      </c>
      <c r="L114" s="121">
        <f t="shared" si="9"/>
        <v>63748.907150339845</v>
      </c>
      <c r="M114" s="121">
        <f t="shared" si="9"/>
        <v>70263.885293346641</v>
      </c>
      <c r="N114" s="121">
        <f t="shared" si="9"/>
        <v>76849.162999213571</v>
      </c>
      <c r="O114" s="121">
        <f t="shared" si="9"/>
        <v>83506.146259197849</v>
      </c>
      <c r="P114" s="121">
        <f t="shared" si="9"/>
        <v>90236.269184381803</v>
      </c>
      <c r="Q114" s="121">
        <f t="shared" si="9"/>
        <v>97040.994568069436</v>
      </c>
      <c r="R114" s="121">
        <f t="shared" si="9"/>
        <v>103921.81445943083</v>
      </c>
      <c r="S114" s="121">
        <f t="shared" si="9"/>
        <v>110880.25074861944</v>
      </c>
      <c r="T114" s="478">
        <f t="shared" si="9"/>
        <v>117917.85576359183</v>
      </c>
      <c r="U114" s="15"/>
      <c r="V114" s="203"/>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c r="IG114" s="15"/>
      <c r="IH114" s="15"/>
      <c r="II114" s="15"/>
      <c r="IJ114" s="15"/>
      <c r="IK114" s="15"/>
      <c r="IL114" s="15"/>
      <c r="IM114" s="15"/>
      <c r="IN114" s="15"/>
      <c r="IO114" s="15"/>
      <c r="IP114" s="15"/>
      <c r="IQ114" s="15"/>
      <c r="IR114" s="15"/>
      <c r="IS114" s="15"/>
      <c r="IT114" s="15"/>
      <c r="IU114" s="15"/>
      <c r="IV114" s="15"/>
      <c r="IW114" s="15"/>
      <c r="IX114" s="15"/>
      <c r="IY114" s="15"/>
      <c r="IZ114" s="15"/>
      <c r="JA114" s="15"/>
      <c r="JB114" s="15"/>
      <c r="JC114" s="15"/>
      <c r="JD114" s="15"/>
      <c r="JE114" s="15"/>
      <c r="JF114" s="15"/>
      <c r="JG114" s="15"/>
      <c r="JH114" s="15"/>
      <c r="JI114" s="15"/>
      <c r="JJ114" s="15"/>
      <c r="JK114" s="15"/>
      <c r="JL114" s="15"/>
      <c r="JM114" s="15"/>
      <c r="JN114" s="15"/>
      <c r="JO114" s="15"/>
      <c r="JP114" s="15"/>
      <c r="JQ114" s="15"/>
      <c r="JR114" s="15"/>
      <c r="JS114" s="15"/>
      <c r="JT114" s="15"/>
      <c r="JU114" s="15"/>
      <c r="JV114" s="15"/>
      <c r="JW114" s="15"/>
      <c r="JX114" s="15"/>
    </row>
    <row r="115" spans="1:284" s="320" customFormat="1" x14ac:dyDescent="0.25">
      <c r="A115" s="15"/>
      <c r="B115" s="106" t="s">
        <v>316</v>
      </c>
      <c r="C115" s="302"/>
      <c r="D115" s="123"/>
      <c r="E115" s="364">
        <f>E45+E46</f>
        <v>25000</v>
      </c>
      <c r="F115" s="121">
        <f>E115</f>
        <v>25000</v>
      </c>
      <c r="G115" s="121">
        <f>F115</f>
        <v>25000</v>
      </c>
      <c r="H115" s="121">
        <f>G115</f>
        <v>25000</v>
      </c>
      <c r="I115" s="121">
        <f t="shared" ref="I115:T115" si="10">H115</f>
        <v>25000</v>
      </c>
      <c r="J115" s="121">
        <f t="shared" si="10"/>
        <v>25000</v>
      </c>
      <c r="K115" s="121">
        <f t="shared" si="10"/>
        <v>25000</v>
      </c>
      <c r="L115" s="121">
        <f t="shared" si="10"/>
        <v>25000</v>
      </c>
      <c r="M115" s="121">
        <f t="shared" si="10"/>
        <v>25000</v>
      </c>
      <c r="N115" s="121">
        <f t="shared" si="10"/>
        <v>25000</v>
      </c>
      <c r="O115" s="121">
        <f t="shared" si="10"/>
        <v>25000</v>
      </c>
      <c r="P115" s="121">
        <f t="shared" si="10"/>
        <v>25000</v>
      </c>
      <c r="Q115" s="121">
        <f t="shared" si="10"/>
        <v>25000</v>
      </c>
      <c r="R115" s="121">
        <f t="shared" si="10"/>
        <v>25000</v>
      </c>
      <c r="S115" s="121">
        <f t="shared" si="10"/>
        <v>25000</v>
      </c>
      <c r="T115" s="122">
        <f t="shared" si="10"/>
        <v>25000</v>
      </c>
      <c r="U115" s="15"/>
      <c r="V115" s="203"/>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c r="IL115" s="15"/>
      <c r="IM115" s="15"/>
      <c r="IN115" s="15"/>
      <c r="IO115" s="15"/>
      <c r="IP115" s="15"/>
      <c r="IQ115" s="15"/>
      <c r="IR115" s="15"/>
      <c r="IS115" s="15"/>
      <c r="IT115" s="15"/>
      <c r="IU115" s="15"/>
      <c r="IV115" s="15"/>
      <c r="IW115" s="15"/>
      <c r="IX115" s="15"/>
      <c r="IY115" s="15"/>
      <c r="IZ115" s="15"/>
      <c r="JA115" s="15"/>
      <c r="JB115" s="15"/>
      <c r="JC115" s="15"/>
      <c r="JD115" s="15"/>
      <c r="JE115" s="15"/>
      <c r="JF115" s="15"/>
      <c r="JG115" s="15"/>
      <c r="JH115" s="15"/>
      <c r="JI115" s="15"/>
      <c r="JJ115" s="15"/>
      <c r="JK115" s="15"/>
      <c r="JL115" s="15"/>
      <c r="JM115" s="15"/>
      <c r="JN115" s="15"/>
      <c r="JO115" s="15"/>
      <c r="JP115" s="15"/>
      <c r="JQ115" s="15"/>
      <c r="JR115" s="15"/>
      <c r="JS115" s="15"/>
      <c r="JT115" s="15"/>
      <c r="JU115" s="15"/>
      <c r="JV115" s="15"/>
      <c r="JW115" s="15"/>
      <c r="JX115" s="15"/>
    </row>
    <row r="116" spans="1:284" s="320" customFormat="1" x14ac:dyDescent="0.25">
      <c r="A116" s="15"/>
      <c r="B116" s="365" t="s">
        <v>317</v>
      </c>
      <c r="C116" s="398"/>
      <c r="D116" s="366"/>
      <c r="E116" s="367">
        <f>SUM($E$111:$E$115)</f>
        <v>50000</v>
      </c>
      <c r="F116" s="367">
        <f>SUM(F111:F115)</f>
        <v>74340.44</v>
      </c>
      <c r="G116" s="367">
        <f t="shared" ref="G116:T116" si="11">SUM(G111:G115)</f>
        <v>99107.688800000004</v>
      </c>
      <c r="H116" s="367">
        <f t="shared" si="11"/>
        <v>124310.282576</v>
      </c>
      <c r="I116" s="367">
        <f t="shared" si="11"/>
        <v>149956.92822752002</v>
      </c>
      <c r="J116" s="367">
        <f t="shared" si="11"/>
        <v>176056.5067920704</v>
      </c>
      <c r="K116" s="367">
        <f t="shared" si="11"/>
        <v>202618.07692791184</v>
      </c>
      <c r="L116" s="367">
        <f t="shared" si="11"/>
        <v>229650.87846647005</v>
      </c>
      <c r="M116" s="367">
        <f t="shared" si="11"/>
        <v>257164.33603579947</v>
      </c>
      <c r="N116" s="367">
        <f t="shared" si="11"/>
        <v>285168.06275651546</v>
      </c>
      <c r="O116" s="367">
        <f>SUM(O111:O115)</f>
        <v>313671.86401164578</v>
      </c>
      <c r="P116" s="367">
        <f t="shared" si="11"/>
        <v>342685.74129187863</v>
      </c>
      <c r="Q116" s="367">
        <f t="shared" si="11"/>
        <v>372219.89611771621</v>
      </c>
      <c r="R116" s="367">
        <f t="shared" si="11"/>
        <v>402284.73404007056</v>
      </c>
      <c r="S116" s="367">
        <f t="shared" si="11"/>
        <v>432890.86872087198</v>
      </c>
      <c r="T116" s="479">
        <f t="shared" si="11"/>
        <v>464049.12609528942</v>
      </c>
      <c r="U116" s="15"/>
      <c r="V116" s="203"/>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c r="IL116" s="15"/>
      <c r="IM116" s="15"/>
      <c r="IN116" s="15"/>
      <c r="IO116" s="15"/>
      <c r="IP116" s="15"/>
      <c r="IQ116" s="15"/>
      <c r="IR116" s="15"/>
      <c r="IS116" s="15"/>
      <c r="IT116" s="15"/>
      <c r="IU116" s="15"/>
      <c r="IV116" s="15"/>
      <c r="IW116" s="15"/>
      <c r="IX116" s="15"/>
      <c r="IY116" s="15"/>
      <c r="IZ116" s="15"/>
      <c r="JA116" s="15"/>
      <c r="JB116" s="15"/>
      <c r="JC116" s="15"/>
      <c r="JD116" s="15"/>
      <c r="JE116" s="15"/>
      <c r="JF116" s="15"/>
      <c r="JG116" s="15"/>
      <c r="JH116" s="15"/>
      <c r="JI116" s="15"/>
      <c r="JJ116" s="15"/>
      <c r="JK116" s="15"/>
      <c r="JL116" s="15"/>
      <c r="JM116" s="15"/>
      <c r="JN116" s="15"/>
      <c r="JO116" s="15"/>
      <c r="JP116" s="15"/>
      <c r="JQ116" s="15"/>
      <c r="JR116" s="15"/>
      <c r="JS116" s="15"/>
      <c r="JT116" s="15"/>
      <c r="JU116" s="15"/>
      <c r="JV116" s="15"/>
      <c r="JW116" s="15"/>
      <c r="JX116" s="15"/>
    </row>
    <row r="117" spans="1:284" s="320" customFormat="1" x14ac:dyDescent="0.25">
      <c r="A117" s="15"/>
      <c r="B117" s="106"/>
      <c r="C117" s="398"/>
      <c r="D117" s="366"/>
      <c r="E117" s="364"/>
      <c r="F117" s="121"/>
      <c r="G117" s="121"/>
      <c r="H117" s="121"/>
      <c r="I117" s="121"/>
      <c r="J117" s="121"/>
      <c r="K117" s="121"/>
      <c r="L117" s="121"/>
      <c r="M117" s="121"/>
      <c r="N117" s="121"/>
      <c r="O117" s="121"/>
      <c r="P117" s="121"/>
      <c r="Q117" s="121"/>
      <c r="R117" s="121"/>
      <c r="S117" s="121"/>
      <c r="T117" s="122"/>
      <c r="U117" s="15"/>
      <c r="V117" s="203"/>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c r="IL117" s="15"/>
      <c r="IM117" s="15"/>
      <c r="IN117" s="15"/>
      <c r="IO117" s="15"/>
      <c r="IP117" s="15"/>
      <c r="IQ117" s="15"/>
      <c r="IR117" s="15"/>
      <c r="IS117" s="15"/>
      <c r="IT117" s="15"/>
      <c r="IU117" s="15"/>
      <c r="IV117" s="15"/>
      <c r="IW117" s="15"/>
      <c r="IX117" s="15"/>
      <c r="IY117" s="15"/>
      <c r="IZ117" s="15"/>
      <c r="JA117" s="15"/>
      <c r="JB117" s="15"/>
      <c r="JC117" s="15"/>
      <c r="JD117" s="15"/>
      <c r="JE117" s="15"/>
      <c r="JF117" s="15"/>
      <c r="JG117" s="15"/>
      <c r="JH117" s="15"/>
      <c r="JI117" s="15"/>
      <c r="JJ117" s="15"/>
      <c r="JK117" s="15"/>
      <c r="JL117" s="15"/>
      <c r="JM117" s="15"/>
      <c r="JN117" s="15"/>
      <c r="JO117" s="15"/>
      <c r="JP117" s="15"/>
      <c r="JQ117" s="15"/>
      <c r="JR117" s="15"/>
      <c r="JS117" s="15"/>
      <c r="JT117" s="15"/>
      <c r="JU117" s="15"/>
      <c r="JV117" s="15"/>
      <c r="JW117" s="15"/>
      <c r="JX117" s="15"/>
    </row>
    <row r="118" spans="1:284" s="320" customFormat="1" x14ac:dyDescent="0.25">
      <c r="A118" s="15"/>
      <c r="B118" s="368" t="s">
        <v>318</v>
      </c>
      <c r="C118" s="369"/>
      <c r="D118" s="370"/>
      <c r="E118" s="371">
        <f>E105-E116</f>
        <v>600000</v>
      </c>
      <c r="F118" s="371">
        <f t="shared" ref="F118:T118" si="12">F105-F116</f>
        <v>588659.56000000006</v>
      </c>
      <c r="G118" s="371">
        <f t="shared" si="12"/>
        <v>577152.3112</v>
      </c>
      <c r="H118" s="371">
        <f t="shared" si="12"/>
        <v>565474.9174240001</v>
      </c>
      <c r="I118" s="371">
        <f t="shared" si="12"/>
        <v>553623.97577248001</v>
      </c>
      <c r="J118" s="371">
        <f t="shared" si="12"/>
        <v>541596.01528792968</v>
      </c>
      <c r="K118" s="371">
        <f t="shared" si="12"/>
        <v>529387.49559368833</v>
      </c>
      <c r="L118" s="371">
        <f t="shared" si="12"/>
        <v>516994.80550556211</v>
      </c>
      <c r="M118" s="371">
        <f t="shared" si="12"/>
        <v>504414.26161567331</v>
      </c>
      <c r="N118" s="371">
        <f t="shared" si="12"/>
        <v>491642.10684798681</v>
      </c>
      <c r="O118" s="371">
        <f t="shared" si="12"/>
        <v>478674.50898494653</v>
      </c>
      <c r="P118" s="371">
        <f t="shared" si="12"/>
        <v>465507.5591646455</v>
      </c>
      <c r="Q118" s="371">
        <f t="shared" si="12"/>
        <v>452137.27034793841</v>
      </c>
      <c r="R118" s="371">
        <f t="shared" si="12"/>
        <v>438559.5757548972</v>
      </c>
      <c r="S118" s="371">
        <f t="shared" si="12"/>
        <v>424770.32726999512</v>
      </c>
      <c r="T118" s="480">
        <f t="shared" si="12"/>
        <v>410765.29381539504</v>
      </c>
      <c r="U118" s="15"/>
      <c r="V118" s="203"/>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c r="IL118" s="15"/>
      <c r="IM118" s="15"/>
      <c r="IN118" s="15"/>
      <c r="IO118" s="15"/>
      <c r="IP118" s="15"/>
      <c r="IQ118" s="15"/>
      <c r="IR118" s="15"/>
      <c r="IS118" s="15"/>
      <c r="IT118" s="15"/>
      <c r="IU118" s="15"/>
      <c r="IV118" s="15"/>
      <c r="IW118" s="15"/>
      <c r="IX118" s="15"/>
      <c r="IY118" s="15"/>
      <c r="IZ118" s="15"/>
      <c r="JA118" s="15"/>
      <c r="JB118" s="15"/>
      <c r="JC118" s="15"/>
      <c r="JD118" s="15"/>
      <c r="JE118" s="15"/>
      <c r="JF118" s="15"/>
      <c r="JG118" s="15"/>
      <c r="JH118" s="15"/>
      <c r="JI118" s="15"/>
      <c r="JJ118" s="15"/>
      <c r="JK118" s="15"/>
      <c r="JL118" s="15"/>
      <c r="JM118" s="15"/>
      <c r="JN118" s="15"/>
      <c r="JO118" s="15"/>
      <c r="JP118" s="15"/>
      <c r="JQ118" s="15"/>
      <c r="JR118" s="15"/>
      <c r="JS118" s="15"/>
      <c r="JT118" s="15"/>
      <c r="JU118" s="15"/>
      <c r="JV118" s="15"/>
      <c r="JW118" s="15"/>
      <c r="JX118" s="15"/>
    </row>
    <row r="119" spans="1:284" s="320" customFormat="1" x14ac:dyDescent="0.25">
      <c r="A119" s="15"/>
      <c r="B119" s="118" t="s">
        <v>319</v>
      </c>
      <c r="C119" s="762" t="s">
        <v>361</v>
      </c>
      <c r="D119" s="763"/>
      <c r="E119" s="360"/>
      <c r="F119" s="119"/>
      <c r="G119" s="119"/>
      <c r="H119" s="119"/>
      <c r="I119" s="119"/>
      <c r="J119" s="119"/>
      <c r="K119" s="119"/>
      <c r="L119" s="119"/>
      <c r="M119" s="119"/>
      <c r="N119" s="119"/>
      <c r="O119" s="119"/>
      <c r="P119" s="119"/>
      <c r="Q119" s="119"/>
      <c r="R119" s="119"/>
      <c r="S119" s="119"/>
      <c r="T119" s="120"/>
      <c r="U119" s="15"/>
      <c r="V119" s="203"/>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c r="IU119" s="15"/>
      <c r="IV119" s="15"/>
      <c r="IW119" s="15"/>
      <c r="IX119" s="15"/>
      <c r="IY119" s="15"/>
      <c r="IZ119" s="15"/>
      <c r="JA119" s="15"/>
      <c r="JB119" s="15"/>
      <c r="JC119" s="15"/>
      <c r="JD119" s="15"/>
      <c r="JE119" s="15"/>
      <c r="JF119" s="15"/>
      <c r="JG119" s="15"/>
      <c r="JH119" s="15"/>
      <c r="JI119" s="15"/>
      <c r="JJ119" s="15"/>
      <c r="JK119" s="15"/>
      <c r="JL119" s="15"/>
      <c r="JM119" s="15"/>
      <c r="JN119" s="15"/>
      <c r="JO119" s="15"/>
      <c r="JP119" s="15"/>
      <c r="JQ119" s="15"/>
      <c r="JR119" s="15"/>
      <c r="JS119" s="15"/>
      <c r="JT119" s="15"/>
      <c r="JU119" s="15"/>
      <c r="JV119" s="15"/>
      <c r="JW119" s="15"/>
      <c r="JX119" s="15"/>
    </row>
    <row r="120" spans="1:284" s="320" customFormat="1" x14ac:dyDescent="0.25">
      <c r="A120" s="15"/>
      <c r="B120" s="67" t="s">
        <v>320</v>
      </c>
      <c r="C120" s="769">
        <v>0.02</v>
      </c>
      <c r="D120" s="770"/>
      <c r="E120" s="361">
        <f>$E$34</f>
        <v>100000</v>
      </c>
      <c r="F120" s="117">
        <f>(E120*(1+$C$120))</f>
        <v>102000</v>
      </c>
      <c r="G120" s="117">
        <f t="shared" ref="G120:T120" si="13">(F120*(1+$C$120))</f>
        <v>104040</v>
      </c>
      <c r="H120" s="117">
        <f t="shared" si="13"/>
        <v>106120.8</v>
      </c>
      <c r="I120" s="117">
        <f t="shared" si="13"/>
        <v>108243.216</v>
      </c>
      <c r="J120" s="117">
        <f t="shared" si="13"/>
        <v>110408.08032000001</v>
      </c>
      <c r="K120" s="117">
        <f t="shared" si="13"/>
        <v>112616.24192640001</v>
      </c>
      <c r="L120" s="117">
        <f t="shared" si="13"/>
        <v>114868.56676492801</v>
      </c>
      <c r="M120" s="117">
        <f t="shared" si="13"/>
        <v>117165.93810022657</v>
      </c>
      <c r="N120" s="117">
        <f t="shared" si="13"/>
        <v>119509.25686223111</v>
      </c>
      <c r="O120" s="117">
        <f t="shared" si="13"/>
        <v>121899.44199947573</v>
      </c>
      <c r="P120" s="117">
        <f t="shared" si="13"/>
        <v>124337.43083946525</v>
      </c>
      <c r="Q120" s="117">
        <f t="shared" si="13"/>
        <v>126824.17945625455</v>
      </c>
      <c r="R120" s="117">
        <f t="shared" si="13"/>
        <v>129360.66304537965</v>
      </c>
      <c r="S120" s="117">
        <f t="shared" si="13"/>
        <v>131947.87630628725</v>
      </c>
      <c r="T120" s="475">
        <f t="shared" si="13"/>
        <v>134586.83383241299</v>
      </c>
      <c r="U120" s="15"/>
      <c r="V120" s="203"/>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c r="IU120" s="15"/>
      <c r="IV120" s="15"/>
      <c r="IW120" s="15"/>
      <c r="IX120" s="15"/>
      <c r="IY120" s="15"/>
      <c r="IZ120" s="15"/>
      <c r="JA120" s="15"/>
      <c r="JB120" s="15"/>
      <c r="JC120" s="15"/>
      <c r="JD120" s="15"/>
      <c r="JE120" s="15"/>
      <c r="JF120" s="15"/>
      <c r="JG120" s="15"/>
      <c r="JH120" s="15"/>
      <c r="JI120" s="15"/>
      <c r="JJ120" s="15"/>
      <c r="JK120" s="15"/>
      <c r="JL120" s="15"/>
      <c r="JM120" s="15"/>
      <c r="JN120" s="15"/>
      <c r="JO120" s="15"/>
      <c r="JP120" s="15"/>
      <c r="JQ120" s="15"/>
      <c r="JR120" s="15"/>
      <c r="JS120" s="15"/>
      <c r="JT120" s="15"/>
      <c r="JU120" s="15"/>
      <c r="JV120" s="15"/>
      <c r="JW120" s="15"/>
      <c r="JX120" s="15"/>
    </row>
    <row r="121" spans="1:284" s="320" customFormat="1" x14ac:dyDescent="0.25">
      <c r="A121" s="15"/>
      <c r="B121" s="67"/>
      <c r="C121" s="402"/>
      <c r="D121" s="403"/>
      <c r="E121" s="361"/>
      <c r="F121" s="117"/>
      <c r="G121" s="117"/>
      <c r="H121" s="117"/>
      <c r="I121" s="117"/>
      <c r="J121" s="117"/>
      <c r="K121" s="117"/>
      <c r="L121" s="117"/>
      <c r="M121" s="117"/>
      <c r="N121" s="117"/>
      <c r="O121" s="117"/>
      <c r="P121" s="117"/>
      <c r="Q121" s="117"/>
      <c r="R121" s="117"/>
      <c r="S121" s="117"/>
      <c r="T121" s="105"/>
      <c r="U121" s="15"/>
      <c r="V121" s="203"/>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row>
    <row r="122" spans="1:284" s="320" customFormat="1" x14ac:dyDescent="0.25">
      <c r="A122" s="15"/>
      <c r="B122" s="106" t="s">
        <v>483</v>
      </c>
      <c r="C122" s="765" t="s">
        <v>363</v>
      </c>
      <c r="D122" s="766"/>
      <c r="E122" s="423">
        <f>-PMT($C$123,$C$124,E118)</f>
        <v>44761.702144123956</v>
      </c>
      <c r="F122" s="363">
        <f>-PMT($C$123,$C$124,F118)</f>
        <v>43915.67314835178</v>
      </c>
      <c r="G122" s="363">
        <f t="shared" ref="G122:T122" si="14">-PMT($C$123,$C$124,G118)</f>
        <v>43057.199742878562</v>
      </c>
      <c r="H122" s="363">
        <f t="shared" si="14"/>
        <v>42186.033039510308</v>
      </c>
      <c r="I122" s="363">
        <f t="shared" si="14"/>
        <v>41301.919172289083</v>
      </c>
      <c r="J122" s="363">
        <f t="shared" si="14"/>
        <v>40404.59919793786</v>
      </c>
      <c r="K122" s="363">
        <f t="shared" si="14"/>
        <v>39493.808994314022</v>
      </c>
      <c r="L122" s="363">
        <f t="shared" si="14"/>
        <v>38569.279156832112</v>
      </c>
      <c r="M122" s="363">
        <f t="shared" si="14"/>
        <v>37630.73489281498</v>
      </c>
      <c r="N122" s="363">
        <f t="shared" si="14"/>
        <v>36677.895913731918</v>
      </c>
      <c r="O122" s="363">
        <f t="shared" si="14"/>
        <v>35710.476325281605</v>
      </c>
      <c r="P122" s="363">
        <f t="shared" si="14"/>
        <v>34728.184515276705</v>
      </c>
      <c r="Q122" s="363">
        <f t="shared" si="14"/>
        <v>33730.723039286117</v>
      </c>
      <c r="R122" s="363">
        <f t="shared" si="14"/>
        <v>32717.788503990127</v>
      </c>
      <c r="S122" s="363">
        <f t="shared" si="14"/>
        <v>31689.071448202627</v>
      </c>
      <c r="T122" s="481">
        <f t="shared" si="14"/>
        <v>30644.256221513795</v>
      </c>
      <c r="U122" s="15"/>
      <c r="V122" s="203"/>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c r="IL122" s="15"/>
      <c r="IM122" s="15"/>
      <c r="IN122" s="15"/>
      <c r="IO122" s="15"/>
      <c r="IP122" s="15"/>
      <c r="IQ122" s="15"/>
      <c r="IR122" s="15"/>
      <c r="IS122" s="15"/>
      <c r="IT122" s="15"/>
      <c r="IU122" s="15"/>
      <c r="IV122" s="15"/>
      <c r="IW122" s="15"/>
      <c r="IX122" s="15"/>
      <c r="IY122" s="15"/>
      <c r="IZ122" s="15"/>
      <c r="JA122" s="15"/>
      <c r="JB122" s="15"/>
      <c r="JC122" s="15"/>
      <c r="JD122" s="15"/>
      <c r="JE122" s="15"/>
      <c r="JF122" s="15"/>
      <c r="JG122" s="15"/>
      <c r="JH122" s="15"/>
      <c r="JI122" s="15"/>
      <c r="JJ122" s="15"/>
      <c r="JK122" s="15"/>
      <c r="JL122" s="15"/>
      <c r="JM122" s="15"/>
      <c r="JN122" s="15"/>
      <c r="JO122" s="15"/>
      <c r="JP122" s="15"/>
      <c r="JQ122" s="15"/>
      <c r="JR122" s="15"/>
      <c r="JS122" s="15"/>
      <c r="JT122" s="15"/>
      <c r="JU122" s="15"/>
      <c r="JV122" s="15"/>
      <c r="JW122" s="15"/>
      <c r="JX122" s="15"/>
    </row>
    <row r="123" spans="1:284" s="320" customFormat="1" x14ac:dyDescent="0.25">
      <c r="A123" s="15"/>
      <c r="B123" s="372" t="s">
        <v>321</v>
      </c>
      <c r="C123" s="775">
        <v>6.25E-2</v>
      </c>
      <c r="D123" s="776"/>
      <c r="E123" s="363"/>
      <c r="F123" s="128"/>
      <c r="G123" s="128"/>
      <c r="H123" s="128"/>
      <c r="I123" s="128"/>
      <c r="J123" s="128"/>
      <c r="K123" s="128"/>
      <c r="L123" s="128"/>
      <c r="M123" s="128"/>
      <c r="N123" s="128"/>
      <c r="O123" s="128"/>
      <c r="P123" s="128"/>
      <c r="Q123" s="128"/>
      <c r="R123" s="128"/>
      <c r="S123" s="128"/>
      <c r="T123" s="129"/>
      <c r="U123" s="15"/>
      <c r="V123" s="203"/>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c r="IL123" s="15"/>
      <c r="IM123" s="15"/>
      <c r="IN123" s="15"/>
      <c r="IO123" s="15"/>
      <c r="IP123" s="15"/>
      <c r="IQ123" s="15"/>
      <c r="IR123" s="15"/>
      <c r="IS123" s="15"/>
      <c r="IT123" s="15"/>
      <c r="IU123" s="15"/>
      <c r="IV123" s="15"/>
      <c r="IW123" s="15"/>
      <c r="IX123" s="15"/>
      <c r="IY123" s="15"/>
      <c r="IZ123" s="15"/>
      <c r="JA123" s="15"/>
      <c r="JB123" s="15"/>
      <c r="JC123" s="15"/>
      <c r="JD123" s="15"/>
      <c r="JE123" s="15"/>
      <c r="JF123" s="15"/>
      <c r="JG123" s="15"/>
      <c r="JH123" s="15"/>
      <c r="JI123" s="15"/>
      <c r="JJ123" s="15"/>
      <c r="JK123" s="15"/>
      <c r="JL123" s="15"/>
      <c r="JM123" s="15"/>
      <c r="JN123" s="15"/>
      <c r="JO123" s="15"/>
      <c r="JP123" s="15"/>
      <c r="JQ123" s="15"/>
      <c r="JR123" s="15"/>
      <c r="JS123" s="15"/>
      <c r="JT123" s="15"/>
      <c r="JU123" s="15"/>
      <c r="JV123" s="15"/>
      <c r="JW123" s="15"/>
      <c r="JX123" s="15"/>
    </row>
    <row r="124" spans="1:284" s="320" customFormat="1" x14ac:dyDescent="0.25">
      <c r="A124" s="15"/>
      <c r="B124" s="372" t="s">
        <v>322</v>
      </c>
      <c r="C124" s="771">
        <v>30</v>
      </c>
      <c r="D124" s="772"/>
      <c r="E124" s="363"/>
      <c r="F124" s="128"/>
      <c r="G124" s="128"/>
      <c r="H124" s="128"/>
      <c r="I124" s="128"/>
      <c r="J124" s="128"/>
      <c r="K124" s="128"/>
      <c r="L124" s="128"/>
      <c r="M124" s="128"/>
      <c r="N124" s="128"/>
      <c r="O124" s="128"/>
      <c r="P124" s="128"/>
      <c r="Q124" s="128"/>
      <c r="R124" s="128"/>
      <c r="S124" s="128"/>
      <c r="T124" s="129"/>
      <c r="U124" s="15"/>
      <c r="V124" s="203"/>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c r="IL124" s="15"/>
      <c r="IM124" s="15"/>
      <c r="IN124" s="15"/>
      <c r="IO124" s="15"/>
      <c r="IP124" s="15"/>
      <c r="IQ124" s="15"/>
      <c r="IR124" s="15"/>
      <c r="IS124" s="15"/>
      <c r="IT124" s="15"/>
      <c r="IU124" s="15"/>
      <c r="IV124" s="15"/>
      <c r="IW124" s="15"/>
      <c r="IX124" s="15"/>
      <c r="IY124" s="15"/>
      <c r="IZ124" s="15"/>
      <c r="JA124" s="15"/>
      <c r="JB124" s="15"/>
      <c r="JC124" s="15"/>
      <c r="JD124" s="15"/>
      <c r="JE124" s="15"/>
      <c r="JF124" s="15"/>
      <c r="JG124" s="15"/>
      <c r="JH124" s="15"/>
      <c r="JI124" s="15"/>
      <c r="JJ124" s="15"/>
      <c r="JK124" s="15"/>
      <c r="JL124" s="15"/>
      <c r="JM124" s="15"/>
      <c r="JN124" s="15"/>
      <c r="JO124" s="15"/>
      <c r="JP124" s="15"/>
      <c r="JQ124" s="15"/>
      <c r="JR124" s="15"/>
      <c r="JS124" s="15"/>
      <c r="JT124" s="15"/>
      <c r="JU124" s="15"/>
      <c r="JV124" s="15"/>
      <c r="JW124" s="15"/>
      <c r="JX124" s="15"/>
    </row>
    <row r="125" spans="1:284" s="320" customFormat="1" x14ac:dyDescent="0.25">
      <c r="A125" s="15"/>
      <c r="B125" s="106" t="s">
        <v>323</v>
      </c>
      <c r="C125" s="373"/>
      <c r="D125" s="374"/>
      <c r="E125" s="375">
        <f>($J$57+$J$58)*52</f>
        <v>5148</v>
      </c>
      <c r="F125" s="130">
        <f>($J$57+$J$58)*52*(1+$C$120)</f>
        <v>5250.96</v>
      </c>
      <c r="G125" s="130">
        <f>F125*(1+$C$120)</f>
        <v>5355.9791999999998</v>
      </c>
      <c r="H125" s="130">
        <f t="shared" ref="H125:T125" si="15">G125*(1+$C$120)</f>
        <v>5463.0987839999998</v>
      </c>
      <c r="I125" s="130">
        <f t="shared" si="15"/>
        <v>5572.3607596800002</v>
      </c>
      <c r="J125" s="130">
        <f t="shared" si="15"/>
        <v>5683.8079748736</v>
      </c>
      <c r="K125" s="130">
        <f t="shared" si="15"/>
        <v>5797.4841343710723</v>
      </c>
      <c r="L125" s="130">
        <f t="shared" si="15"/>
        <v>5913.4338170584942</v>
      </c>
      <c r="M125" s="130">
        <f t="shared" si="15"/>
        <v>6031.7024933996645</v>
      </c>
      <c r="N125" s="130">
        <f t="shared" si="15"/>
        <v>6152.3365432676583</v>
      </c>
      <c r="O125" s="130">
        <f t="shared" si="15"/>
        <v>6275.3832741330116</v>
      </c>
      <c r="P125" s="130">
        <f t="shared" si="15"/>
        <v>6400.8909396156723</v>
      </c>
      <c r="Q125" s="130">
        <f t="shared" si="15"/>
        <v>6528.9087584079862</v>
      </c>
      <c r="R125" s="130">
        <f t="shared" si="15"/>
        <v>6659.4869335761459</v>
      </c>
      <c r="S125" s="130">
        <f t="shared" si="15"/>
        <v>6792.6766722476686</v>
      </c>
      <c r="T125" s="482">
        <f t="shared" si="15"/>
        <v>6928.5302056926221</v>
      </c>
      <c r="U125" s="15"/>
      <c r="V125" s="203"/>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c r="IL125" s="15"/>
      <c r="IM125" s="15"/>
      <c r="IN125" s="15"/>
      <c r="IO125" s="15"/>
      <c r="IP125" s="15"/>
      <c r="IQ125" s="15"/>
      <c r="IR125" s="15"/>
      <c r="IS125" s="15"/>
      <c r="IT125" s="15"/>
      <c r="IU125" s="15"/>
      <c r="IV125" s="15"/>
      <c r="IW125" s="15"/>
      <c r="IX125" s="15"/>
      <c r="IY125" s="15"/>
      <c r="IZ125" s="15"/>
      <c r="JA125" s="15"/>
      <c r="JB125" s="15"/>
      <c r="JC125" s="15"/>
      <c r="JD125" s="15"/>
      <c r="JE125" s="15"/>
      <c r="JF125" s="15"/>
      <c r="JG125" s="15"/>
      <c r="JH125" s="15"/>
      <c r="JI125" s="15"/>
      <c r="JJ125" s="15"/>
      <c r="JK125" s="15"/>
      <c r="JL125" s="15"/>
      <c r="JM125" s="15"/>
      <c r="JN125" s="15"/>
      <c r="JO125" s="15"/>
      <c r="JP125" s="15"/>
      <c r="JQ125" s="15"/>
      <c r="JR125" s="15"/>
      <c r="JS125" s="15"/>
      <c r="JT125" s="15"/>
      <c r="JU125" s="15"/>
      <c r="JV125" s="15"/>
      <c r="JW125" s="15"/>
      <c r="JX125" s="15"/>
    </row>
    <row r="126" spans="1:284" s="320" customFormat="1" x14ac:dyDescent="0.25">
      <c r="A126" s="15"/>
      <c r="B126" s="127" t="s">
        <v>324</v>
      </c>
      <c r="C126" s="767" t="s">
        <v>364</v>
      </c>
      <c r="D126" s="768"/>
      <c r="E126" s="376"/>
      <c r="F126" s="377"/>
      <c r="G126" s="377"/>
      <c r="H126" s="377"/>
      <c r="I126" s="377"/>
      <c r="J126" s="377"/>
      <c r="K126" s="377"/>
      <c r="L126" s="377"/>
      <c r="M126" s="377"/>
      <c r="N126" s="377"/>
      <c r="O126" s="377"/>
      <c r="P126" s="377"/>
      <c r="Q126" s="377"/>
      <c r="R126" s="377"/>
      <c r="S126" s="377"/>
      <c r="T126" s="378"/>
      <c r="U126" s="15"/>
      <c r="V126" s="203"/>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c r="IU126" s="15"/>
      <c r="IV126" s="15"/>
      <c r="IW126" s="15"/>
      <c r="IX126" s="15"/>
      <c r="IY126" s="15"/>
      <c r="IZ126" s="15"/>
      <c r="JA126" s="15"/>
      <c r="JB126" s="15"/>
      <c r="JC126" s="15"/>
      <c r="JD126" s="15"/>
      <c r="JE126" s="15"/>
      <c r="JF126" s="15"/>
      <c r="JG126" s="15"/>
      <c r="JH126" s="15"/>
      <c r="JI126" s="15"/>
      <c r="JJ126" s="15"/>
      <c r="JK126" s="15"/>
      <c r="JL126" s="15"/>
      <c r="JM126" s="15"/>
      <c r="JN126" s="15"/>
      <c r="JO126" s="15"/>
      <c r="JP126" s="15"/>
      <c r="JQ126" s="15"/>
      <c r="JR126" s="15"/>
      <c r="JS126" s="15"/>
      <c r="JT126" s="15"/>
      <c r="JU126" s="15"/>
      <c r="JV126" s="15"/>
      <c r="JW126" s="15"/>
      <c r="JX126" s="15"/>
    </row>
    <row r="127" spans="1:284" s="320" customFormat="1" x14ac:dyDescent="0.25">
      <c r="A127" s="15"/>
      <c r="B127" s="106" t="s">
        <v>325</v>
      </c>
      <c r="C127" s="203"/>
      <c r="D127" s="362"/>
      <c r="E127" s="379">
        <f>(E122+E125)/52</f>
        <v>959.80196431007607</v>
      </c>
      <c r="F127" s="125">
        <f>(F122+F125)/52</f>
        <v>945.51217592984187</v>
      </c>
      <c r="G127" s="125">
        <f>(G122+G125)/52</f>
        <v>931.02267197843389</v>
      </c>
      <c r="H127" s="125">
        <f t="shared" ref="H127:T127" si="16">(H122+H125)/52</f>
        <v>916.32945814442905</v>
      </c>
      <c r="I127" s="125">
        <f t="shared" si="16"/>
        <v>901.42846023017466</v>
      </c>
      <c r="J127" s="125">
        <f t="shared" si="16"/>
        <v>886.31552255406655</v>
      </c>
      <c r="K127" s="125">
        <f t="shared" si="16"/>
        <v>870.98640632086722</v>
      </c>
      <c r="L127" s="125">
        <f t="shared" si="16"/>
        <v>855.43678795943481</v>
      </c>
      <c r="M127" s="125">
        <f t="shared" si="16"/>
        <v>839.66225742720474</v>
      </c>
      <c r="N127" s="125">
        <f t="shared" si="16"/>
        <v>823.65831648076107</v>
      </c>
      <c r="O127" s="125">
        <f t="shared" si="16"/>
        <v>807.42037691181952</v>
      </c>
      <c r="P127" s="125">
        <f t="shared" si="16"/>
        <v>790.94375874793036</v>
      </c>
      <c r="Q127" s="125">
        <f t="shared" si="16"/>
        <v>774.22368841719435</v>
      </c>
      <c r="R127" s="125">
        <f t="shared" si="16"/>
        <v>757.25529687627443</v>
      </c>
      <c r="S127" s="125">
        <f t="shared" si="16"/>
        <v>740.03361770096728</v>
      </c>
      <c r="T127" s="126">
        <f t="shared" si="16"/>
        <v>722.55358513858494</v>
      </c>
      <c r="U127" s="15"/>
      <c r="V127" s="203"/>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c r="IU127" s="15"/>
      <c r="IV127" s="15"/>
      <c r="IW127" s="15"/>
      <c r="IX127" s="15"/>
      <c r="IY127" s="15"/>
      <c r="IZ127" s="15"/>
      <c r="JA127" s="15"/>
      <c r="JB127" s="15"/>
      <c r="JC127" s="15"/>
      <c r="JD127" s="15"/>
      <c r="JE127" s="15"/>
      <c r="JF127" s="15"/>
      <c r="JG127" s="15"/>
      <c r="JH127" s="15"/>
      <c r="JI127" s="15"/>
      <c r="JJ127" s="15"/>
      <c r="JK127" s="15"/>
      <c r="JL127" s="15"/>
      <c r="JM127" s="15"/>
      <c r="JN127" s="15"/>
      <c r="JO127" s="15"/>
      <c r="JP127" s="15"/>
      <c r="JQ127" s="15"/>
      <c r="JR127" s="15"/>
      <c r="JS127" s="15"/>
      <c r="JT127" s="15"/>
      <c r="JU127" s="15"/>
      <c r="JV127" s="15"/>
      <c r="JW127" s="15"/>
      <c r="JX127" s="15"/>
    </row>
    <row r="128" spans="1:284" s="15" customFormat="1" x14ac:dyDescent="0.25">
      <c r="B128" s="106" t="s">
        <v>90</v>
      </c>
      <c r="C128" s="779">
        <v>550</v>
      </c>
      <c r="D128" s="780"/>
      <c r="E128" s="380">
        <f>C128</f>
        <v>550</v>
      </c>
      <c r="F128" s="336">
        <f>E128*(1+$C$120)</f>
        <v>561</v>
      </c>
      <c r="G128" s="336">
        <f>F128*(1+$C$120)</f>
        <v>572.22</v>
      </c>
      <c r="H128" s="336">
        <f t="shared" ref="H128:T128" si="17">G128*(1+$C$120)</f>
        <v>583.6644</v>
      </c>
      <c r="I128" s="336">
        <f t="shared" si="17"/>
        <v>595.33768799999996</v>
      </c>
      <c r="J128" s="336">
        <f t="shared" si="17"/>
        <v>607.24444175999997</v>
      </c>
      <c r="K128" s="336">
        <f t="shared" si="17"/>
        <v>619.38933059520002</v>
      </c>
      <c r="L128" s="336">
        <f t="shared" si="17"/>
        <v>631.77711720710408</v>
      </c>
      <c r="M128" s="336">
        <f t="shared" si="17"/>
        <v>644.41265955124618</v>
      </c>
      <c r="N128" s="336">
        <f t="shared" si="17"/>
        <v>657.30091274227107</v>
      </c>
      <c r="O128" s="336">
        <f t="shared" si="17"/>
        <v>670.44693099711651</v>
      </c>
      <c r="P128" s="336">
        <f t="shared" si="17"/>
        <v>683.85586961705883</v>
      </c>
      <c r="Q128" s="336">
        <f t="shared" si="17"/>
        <v>697.53298700940002</v>
      </c>
      <c r="R128" s="336">
        <f t="shared" si="17"/>
        <v>711.48364674958805</v>
      </c>
      <c r="S128" s="336">
        <f t="shared" si="17"/>
        <v>725.7133196845798</v>
      </c>
      <c r="T128" s="336">
        <f t="shared" si="17"/>
        <v>740.22758607827143</v>
      </c>
      <c r="V128" s="203"/>
    </row>
    <row r="129" spans="1:284" s="15" customFormat="1" x14ac:dyDescent="0.25">
      <c r="B129" s="106" t="s">
        <v>91</v>
      </c>
      <c r="C129" s="399"/>
      <c r="D129" s="124"/>
      <c r="E129" s="469">
        <f>C128-E127</f>
        <v>-409.80196431007607</v>
      </c>
      <c r="F129" s="469">
        <f t="shared" ref="F129:T129" si="18">E128-F127</f>
        <v>-395.51217592984187</v>
      </c>
      <c r="G129" s="469">
        <f t="shared" si="18"/>
        <v>-370.02267197843389</v>
      </c>
      <c r="H129" s="469">
        <f t="shared" si="18"/>
        <v>-344.10945814442903</v>
      </c>
      <c r="I129" s="469">
        <f t="shared" si="18"/>
        <v>-317.76406023017466</v>
      </c>
      <c r="J129" s="469">
        <f t="shared" si="18"/>
        <v>-290.97783455406659</v>
      </c>
      <c r="K129" s="469">
        <f t="shared" si="18"/>
        <v>-263.74196456086725</v>
      </c>
      <c r="L129" s="469">
        <f t="shared" si="18"/>
        <v>-236.04745736423479</v>
      </c>
      <c r="M129" s="469">
        <f t="shared" si="18"/>
        <v>-207.88514022010065</v>
      </c>
      <c r="N129" s="469">
        <f t="shared" si="18"/>
        <v>-179.24565692951489</v>
      </c>
      <c r="O129" s="469">
        <f t="shared" si="18"/>
        <v>-150.11946416954845</v>
      </c>
      <c r="P129" s="469">
        <f t="shared" si="18"/>
        <v>-120.49682775081385</v>
      </c>
      <c r="Q129" s="469">
        <f t="shared" si="18"/>
        <v>-90.367818800135524</v>
      </c>
      <c r="R129" s="469">
        <f t="shared" si="18"/>
        <v>-59.722309866874411</v>
      </c>
      <c r="S129" s="469">
        <f t="shared" si="18"/>
        <v>-28.549970951379237</v>
      </c>
      <c r="T129" s="471">
        <f t="shared" si="18"/>
        <v>3.1597345459948656</v>
      </c>
      <c r="V129" s="203"/>
    </row>
    <row r="130" spans="1:284" s="15" customFormat="1" x14ac:dyDescent="0.25">
      <c r="B130" s="106"/>
      <c r="C130" s="399"/>
      <c r="D130" s="124"/>
      <c r="E130" s="380"/>
      <c r="F130" s="336"/>
      <c r="G130" s="336"/>
      <c r="H130" s="336"/>
      <c r="I130" s="336"/>
      <c r="J130" s="336"/>
      <c r="K130" s="336"/>
      <c r="L130" s="336"/>
      <c r="M130" s="336"/>
      <c r="N130" s="336"/>
      <c r="O130" s="336"/>
      <c r="P130" s="336"/>
      <c r="Q130" s="336"/>
      <c r="R130" s="336"/>
      <c r="S130" s="336"/>
      <c r="T130" s="381"/>
      <c r="V130" s="203"/>
    </row>
    <row r="131" spans="1:284" s="320" customFormat="1" x14ac:dyDescent="0.25">
      <c r="A131" s="15"/>
      <c r="B131" s="106" t="s">
        <v>92</v>
      </c>
      <c r="C131" s="302"/>
      <c r="D131" s="123"/>
      <c r="E131" s="382">
        <f>E118/E105</f>
        <v>0.92307692307692313</v>
      </c>
      <c r="F131" s="382">
        <f t="shared" ref="F131:T131" si="19">F118/F105</f>
        <v>0.88787263951734552</v>
      </c>
      <c r="G131" s="382">
        <f t="shared" si="19"/>
        <v>0.85344735929967763</v>
      </c>
      <c r="H131" s="382">
        <f t="shared" si="19"/>
        <v>0.819784068176586</v>
      </c>
      <c r="I131" s="382">
        <f t="shared" si="19"/>
        <v>0.78686611962464514</v>
      </c>
      <c r="J131" s="382">
        <f t="shared" si="19"/>
        <v>0.75467722696521844</v>
      </c>
      <c r="K131" s="382">
        <f t="shared" si="19"/>
        <v>0.72320145565294458</v>
      </c>
      <c r="L131" s="382">
        <f t="shared" si="19"/>
        <v>0.69242321572828869</v>
      </c>
      <c r="M131" s="382">
        <f t="shared" si="19"/>
        <v>0.66232725443068763</v>
      </c>
      <c r="N131" s="382">
        <f t="shared" si="19"/>
        <v>0.63289864896889392</v>
      </c>
      <c r="O131" s="382">
        <f t="shared" si="19"/>
        <v>0.60412279944519309</v>
      </c>
      <c r="P131" s="382">
        <f t="shared" si="19"/>
        <v>0.57598542193024149</v>
      </c>
      <c r="Q131" s="382">
        <f t="shared" si="19"/>
        <v>0.54847254168533499</v>
      </c>
      <c r="R131" s="382">
        <f t="shared" si="19"/>
        <v>0.52157048652899363</v>
      </c>
      <c r="S131" s="382">
        <f t="shared" si="19"/>
        <v>0.49526588034480501</v>
      </c>
      <c r="T131" s="483">
        <f t="shared" si="19"/>
        <v>0.46954563672753902</v>
      </c>
      <c r="V131" s="558"/>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c r="IU131" s="15"/>
      <c r="IV131" s="15"/>
      <c r="IW131" s="15"/>
      <c r="IX131" s="15"/>
      <c r="IY131" s="15"/>
      <c r="IZ131" s="15"/>
      <c r="JA131" s="15"/>
      <c r="JB131" s="15"/>
      <c r="JC131" s="15"/>
      <c r="JD131" s="15"/>
      <c r="JE131" s="15"/>
      <c r="JF131" s="15"/>
      <c r="JG131" s="15"/>
      <c r="JH131" s="15"/>
      <c r="JI131" s="15"/>
      <c r="JJ131" s="15"/>
      <c r="JK131" s="15"/>
      <c r="JL131" s="15"/>
      <c r="JM131" s="15"/>
      <c r="JN131" s="15"/>
      <c r="JO131" s="15"/>
      <c r="JP131" s="15"/>
      <c r="JQ131" s="15"/>
      <c r="JR131" s="15"/>
      <c r="JS131" s="15"/>
      <c r="JT131" s="15"/>
      <c r="JU131" s="15"/>
      <c r="JV131" s="15"/>
      <c r="JW131" s="15"/>
      <c r="JX131" s="15"/>
    </row>
    <row r="132" spans="1:284" s="15" customFormat="1" x14ac:dyDescent="0.25">
      <c r="B132" s="131" t="s">
        <v>93</v>
      </c>
      <c r="C132" s="70"/>
      <c r="D132" s="132"/>
      <c r="E132" s="400">
        <f t="shared" ref="E132:T132" si="20">SUM(E122:E125)/E120</f>
        <v>0.49909702144123957</v>
      </c>
      <c r="F132" s="133">
        <f t="shared" si="20"/>
        <v>0.48202581517991938</v>
      </c>
      <c r="G132" s="133">
        <f t="shared" si="20"/>
        <v>0.46533236200383088</v>
      </c>
      <c r="H132" s="133">
        <f t="shared" si="20"/>
        <v>0.44900841139070108</v>
      </c>
      <c r="I132" s="133">
        <f t="shared" si="20"/>
        <v>0.43304589113436065</v>
      </c>
      <c r="J132" s="133">
        <f t="shared" si="20"/>
        <v>0.41743690352401425</v>
      </c>
      <c r="K132" s="133">
        <f t="shared" si="20"/>
        <v>0.40217372160478482</v>
      </c>
      <c r="L132" s="133">
        <f t="shared" si="20"/>
        <v>0.38724878551781666</v>
      </c>
      <c r="M132" s="133">
        <f t="shared" si="20"/>
        <v>0.37265469891825337</v>
      </c>
      <c r="N132" s="133">
        <f t="shared" si="20"/>
        <v>0.35838422546944437</v>
      </c>
      <c r="O132" s="133">
        <f t="shared" si="20"/>
        <v>0.3444302854117674</v>
      </c>
      <c r="P132" s="133">
        <f t="shared" si="20"/>
        <v>0.33078595220448959</v>
      </c>
      <c r="Q132" s="133">
        <f t="shared" si="20"/>
        <v>0.31744444923912046</v>
      </c>
      <c r="R132" s="133">
        <f t="shared" si="20"/>
        <v>0.30439914662274686</v>
      </c>
      <c r="S132" s="133">
        <f t="shared" si="20"/>
        <v>0.29164355802986625</v>
      </c>
      <c r="T132" s="388">
        <f t="shared" si="20"/>
        <v>0.27917133762127067</v>
      </c>
      <c r="V132" s="203"/>
    </row>
    <row r="133" spans="1:284" s="15" customFormat="1" x14ac:dyDescent="0.25">
      <c r="A133" s="203"/>
      <c r="B133" s="203"/>
      <c r="C133" s="302"/>
      <c r="D133" s="302"/>
      <c r="E133" s="206"/>
      <c r="F133" s="206"/>
      <c r="G133" s="206"/>
      <c r="H133" s="206"/>
      <c r="I133" s="206"/>
      <c r="J133" s="206"/>
      <c r="K133" s="206"/>
      <c r="L133" s="206"/>
      <c r="M133" s="206"/>
      <c r="N133" s="206"/>
      <c r="O133" s="206"/>
      <c r="P133" s="206"/>
      <c r="Q133" s="206"/>
      <c r="R133" s="206"/>
      <c r="S133" s="206"/>
      <c r="T133" s="206"/>
      <c r="U133" s="203"/>
      <c r="V133" s="203"/>
    </row>
    <row r="134" spans="1:284" s="15" customFormat="1" x14ac:dyDescent="0.25">
      <c r="A134" s="203"/>
      <c r="B134" s="203"/>
      <c r="C134" s="302"/>
      <c r="D134" s="302"/>
      <c r="E134" s="206"/>
      <c r="F134" s="206"/>
      <c r="G134" s="206"/>
      <c r="H134" s="206"/>
      <c r="I134" s="206"/>
      <c r="J134" s="206"/>
      <c r="K134" s="206"/>
      <c r="L134" s="206"/>
      <c r="M134" s="206"/>
      <c r="N134" s="206"/>
      <c r="O134" s="206"/>
      <c r="P134" s="206"/>
      <c r="Q134" s="206"/>
      <c r="R134" s="206"/>
      <c r="S134" s="206"/>
      <c r="T134" s="206"/>
      <c r="U134" s="203"/>
      <c r="V134" s="203"/>
    </row>
    <row r="135" spans="1:284" s="15" customFormat="1" x14ac:dyDescent="0.25">
      <c r="A135" s="203"/>
      <c r="B135" s="537" t="s">
        <v>412</v>
      </c>
      <c r="C135" s="302"/>
      <c r="D135" s="302"/>
      <c r="E135" s="206"/>
      <c r="F135" s="206"/>
      <c r="G135" s="206"/>
      <c r="H135" s="206"/>
      <c r="I135" s="206"/>
      <c r="J135" s="206"/>
      <c r="K135" s="206"/>
      <c r="L135" s="206"/>
      <c r="M135" s="206"/>
      <c r="N135" s="206"/>
      <c r="O135" s="206"/>
      <c r="P135" s="206"/>
      <c r="Q135" s="206"/>
      <c r="R135" s="206"/>
      <c r="S135" s="206"/>
      <c r="T135" s="206"/>
      <c r="U135" s="203"/>
      <c r="V135" s="203"/>
    </row>
    <row r="136" spans="1:284" s="15" customFormat="1" x14ac:dyDescent="0.25">
      <c r="A136" s="203"/>
      <c r="B136" s="203"/>
      <c r="C136" s="302"/>
      <c r="D136" s="302"/>
      <c r="E136" s="206"/>
      <c r="F136" s="206"/>
      <c r="G136" s="206"/>
      <c r="H136" s="206"/>
      <c r="I136" s="206"/>
      <c r="J136" s="206"/>
      <c r="K136" s="206"/>
      <c r="L136" s="206"/>
      <c r="M136" s="206"/>
      <c r="N136" s="206"/>
      <c r="O136" s="206"/>
      <c r="P136" s="206"/>
      <c r="Q136" s="206"/>
      <c r="R136" s="206"/>
      <c r="S136" s="206"/>
      <c r="T136" s="206"/>
      <c r="U136" s="203"/>
      <c r="V136" s="203"/>
    </row>
    <row r="137" spans="1:284" s="198" customFormat="1" x14ac:dyDescent="0.25">
      <c r="B137" s="395"/>
      <c r="C137" s="162"/>
      <c r="D137" s="162"/>
      <c r="E137" s="462" t="s">
        <v>86</v>
      </c>
      <c r="F137" s="463" t="s">
        <v>87</v>
      </c>
      <c r="G137" s="463" t="s">
        <v>87</v>
      </c>
      <c r="H137" s="463" t="s">
        <v>87</v>
      </c>
      <c r="I137" s="463" t="s">
        <v>87</v>
      </c>
      <c r="J137" s="463" t="s">
        <v>87</v>
      </c>
      <c r="K137" s="463" t="s">
        <v>87</v>
      </c>
      <c r="L137" s="463" t="s">
        <v>87</v>
      </c>
      <c r="M137" s="463" t="s">
        <v>87</v>
      </c>
      <c r="N137" s="463" t="s">
        <v>87</v>
      </c>
      <c r="O137" s="463" t="s">
        <v>87</v>
      </c>
      <c r="P137" s="463" t="s">
        <v>87</v>
      </c>
      <c r="Q137" s="463" t="s">
        <v>87</v>
      </c>
      <c r="R137" s="463" t="s">
        <v>87</v>
      </c>
      <c r="S137" s="463" t="s">
        <v>87</v>
      </c>
      <c r="T137" s="560" t="s">
        <v>87</v>
      </c>
      <c r="U137" s="208"/>
    </row>
    <row r="138" spans="1:284" s="198" customFormat="1" x14ac:dyDescent="0.25">
      <c r="B138" s="464"/>
      <c r="C138" s="777" t="s">
        <v>366</v>
      </c>
      <c r="D138" s="778"/>
      <c r="E138" s="465" t="s">
        <v>88</v>
      </c>
      <c r="F138" s="466">
        <v>1</v>
      </c>
      <c r="G138" s="466">
        <v>2</v>
      </c>
      <c r="H138" s="466">
        <v>3</v>
      </c>
      <c r="I138" s="466">
        <v>4</v>
      </c>
      <c r="J138" s="466">
        <v>5</v>
      </c>
      <c r="K138" s="466">
        <v>6</v>
      </c>
      <c r="L138" s="466">
        <v>7</v>
      </c>
      <c r="M138" s="466">
        <v>8</v>
      </c>
      <c r="N138" s="466">
        <v>9</v>
      </c>
      <c r="O138" s="466">
        <v>10</v>
      </c>
      <c r="P138" s="466">
        <v>11</v>
      </c>
      <c r="Q138" s="466">
        <v>12</v>
      </c>
      <c r="R138" s="466">
        <v>13</v>
      </c>
      <c r="S138" s="466">
        <v>14</v>
      </c>
      <c r="T138" s="604">
        <v>15</v>
      </c>
    </row>
    <row r="139" spans="1:284" s="198" customFormat="1" x14ac:dyDescent="0.25">
      <c r="B139" s="365" t="s">
        <v>326</v>
      </c>
      <c r="C139" s="760">
        <v>0.8</v>
      </c>
      <c r="D139" s="761"/>
      <c r="E139" s="384"/>
      <c r="F139" s="384"/>
      <c r="G139" s="384"/>
      <c r="H139" s="384"/>
      <c r="I139" s="384"/>
      <c r="J139" s="384"/>
      <c r="K139" s="384"/>
      <c r="L139" s="385"/>
      <c r="M139" s="385"/>
      <c r="N139" s="385"/>
      <c r="O139" s="385"/>
      <c r="P139" s="385"/>
      <c r="Q139" s="385"/>
      <c r="R139" s="385"/>
      <c r="S139" s="385"/>
      <c r="T139" s="386"/>
    </row>
    <row r="140" spans="1:284" s="198" customFormat="1" x14ac:dyDescent="0.25">
      <c r="B140" s="106" t="s">
        <v>201</v>
      </c>
      <c r="C140" s="273"/>
      <c r="D140" s="422"/>
      <c r="E140" s="121">
        <f t="shared" ref="E140:T140" si="21">E105*$C$139</f>
        <v>520000</v>
      </c>
      <c r="F140" s="121">
        <f t="shared" si="21"/>
        <v>530400</v>
      </c>
      <c r="G140" s="121">
        <f t="shared" si="21"/>
        <v>541008</v>
      </c>
      <c r="H140" s="121">
        <f t="shared" si="21"/>
        <v>551828.16</v>
      </c>
      <c r="I140" s="121">
        <f t="shared" si="21"/>
        <v>562864.72320000012</v>
      </c>
      <c r="J140" s="121">
        <f t="shared" si="21"/>
        <v>574122.01766400016</v>
      </c>
      <c r="K140" s="121">
        <f t="shared" si="21"/>
        <v>585604.45801728021</v>
      </c>
      <c r="L140" s="121">
        <f t="shared" si="21"/>
        <v>597316.5471776257</v>
      </c>
      <c r="M140" s="121">
        <f t="shared" si="21"/>
        <v>609262.87812117825</v>
      </c>
      <c r="N140" s="121">
        <f t="shared" si="21"/>
        <v>621448.13568360184</v>
      </c>
      <c r="O140" s="121">
        <f t="shared" si="21"/>
        <v>633877.09839727392</v>
      </c>
      <c r="P140" s="121">
        <f t="shared" si="21"/>
        <v>646554.64036521933</v>
      </c>
      <c r="Q140" s="121">
        <f t="shared" si="21"/>
        <v>659485.73317252379</v>
      </c>
      <c r="R140" s="121">
        <f t="shared" si="21"/>
        <v>672675.44783597428</v>
      </c>
      <c r="S140" s="121">
        <f t="shared" si="21"/>
        <v>686128.9567926937</v>
      </c>
      <c r="T140" s="478">
        <f t="shared" si="21"/>
        <v>699851.53592854762</v>
      </c>
    </row>
    <row r="141" spans="1:284" s="198" customFormat="1" ht="17.25" customHeight="1" x14ac:dyDescent="0.25">
      <c r="B141" s="208" t="s">
        <v>327</v>
      </c>
      <c r="C141" s="258"/>
      <c r="D141" s="472"/>
      <c r="E141" s="387">
        <f t="shared" ref="E141:T141" si="22">(E105*$C$139)-E116</f>
        <v>470000</v>
      </c>
      <c r="F141" s="387">
        <f t="shared" si="22"/>
        <v>456059.56</v>
      </c>
      <c r="G141" s="387">
        <f t="shared" si="22"/>
        <v>441900.3112</v>
      </c>
      <c r="H141" s="387">
        <f t="shared" si="22"/>
        <v>427517.87742400006</v>
      </c>
      <c r="I141" s="387">
        <f t="shared" si="22"/>
        <v>412907.7949724801</v>
      </c>
      <c r="J141" s="387">
        <f t="shared" si="22"/>
        <v>398065.51087192976</v>
      </c>
      <c r="K141" s="387">
        <f t="shared" si="22"/>
        <v>382986.38108936837</v>
      </c>
      <c r="L141" s="387">
        <f t="shared" si="22"/>
        <v>367665.66871115565</v>
      </c>
      <c r="M141" s="387">
        <f t="shared" si="22"/>
        <v>352098.54208537878</v>
      </c>
      <c r="N141" s="387">
        <f t="shared" si="22"/>
        <v>336280.07292708638</v>
      </c>
      <c r="O141" s="387">
        <f t="shared" si="22"/>
        <v>320205.23438562814</v>
      </c>
      <c r="P141" s="387">
        <f t="shared" si="22"/>
        <v>303868.8990733407</v>
      </c>
      <c r="Q141" s="387">
        <f t="shared" si="22"/>
        <v>287265.83705480758</v>
      </c>
      <c r="R141" s="387">
        <f t="shared" si="22"/>
        <v>270390.71379590372</v>
      </c>
      <c r="S141" s="387">
        <f t="shared" si="22"/>
        <v>253238.08807182172</v>
      </c>
      <c r="T141" s="565">
        <f t="shared" si="22"/>
        <v>235802.40983325819</v>
      </c>
    </row>
    <row r="142" spans="1:284" s="198" customFormat="1" ht="17.25" customHeight="1" x14ac:dyDescent="0.25">
      <c r="B142" s="208" t="s">
        <v>328</v>
      </c>
      <c r="C142" s="258"/>
      <c r="D142" s="472"/>
      <c r="E142" s="387">
        <f>-PMT($C$123,$C$124,E141)</f>
        <v>35063.333346230436</v>
      </c>
      <c r="F142" s="387">
        <f t="shared" ref="F142:T142" si="23">-PMT($C$123,$C$124,F141)</f>
        <v>34023.33697450038</v>
      </c>
      <c r="G142" s="387">
        <f t="shared" si="23"/>
        <v>32967.016845550141</v>
      </c>
      <c r="H142" s="387">
        <f t="shared" si="23"/>
        <v>31894.046484235314</v>
      </c>
      <c r="I142" s="387">
        <f t="shared" si="23"/>
        <v>30804.092885908598</v>
      </c>
      <c r="J142" s="387">
        <f t="shared" si="23"/>
        <v>29696.816385829763</v>
      </c>
      <c r="K142" s="387">
        <f t="shared" si="23"/>
        <v>28571.870525963761</v>
      </c>
      <c r="L142" s="387">
        <f t="shared" si="23"/>
        <v>27428.901919114844</v>
      </c>
      <c r="M142" s="387">
        <f t="shared" si="23"/>
        <v>26267.550110343367</v>
      </c>
      <c r="N142" s="387">
        <f t="shared" si="23"/>
        <v>25087.447435610873</v>
      </c>
      <c r="O142" s="387">
        <f t="shared" si="23"/>
        <v>23888.218877598141</v>
      </c>
      <c r="P142" s="387">
        <f t="shared" si="23"/>
        <v>22669.481918639569</v>
      </c>
      <c r="Q142" s="387">
        <f t="shared" si="23"/>
        <v>21430.84639071624</v>
      </c>
      <c r="R142" s="387">
        <f t="shared" si="23"/>
        <v>20171.914322448851</v>
      </c>
      <c r="S142" s="387">
        <f t="shared" si="23"/>
        <v>18892.279783030524</v>
      </c>
      <c r="T142" s="565">
        <f t="shared" si="23"/>
        <v>17591.528723038249</v>
      </c>
    </row>
    <row r="143" spans="1:284" s="198" customFormat="1" ht="17.25" customHeight="1" x14ac:dyDescent="0.25">
      <c r="B143" s="261" t="s">
        <v>329</v>
      </c>
      <c r="C143" s="258"/>
      <c r="D143" s="472"/>
      <c r="E143" s="383">
        <f t="shared" ref="E143:T143" si="24">E141/(E105*$C$139)</f>
        <v>0.90384615384615385</v>
      </c>
      <c r="F143" s="383">
        <f t="shared" si="24"/>
        <v>0.85984079939668179</v>
      </c>
      <c r="G143" s="383">
        <f t="shared" si="24"/>
        <v>0.81680919912459704</v>
      </c>
      <c r="H143" s="383">
        <f t="shared" si="24"/>
        <v>0.7747300852207325</v>
      </c>
      <c r="I143" s="383">
        <f t="shared" si="24"/>
        <v>0.73358264953080654</v>
      </c>
      <c r="J143" s="383">
        <f t="shared" si="24"/>
        <v>0.6933465337065231</v>
      </c>
      <c r="K143" s="383">
        <f t="shared" si="24"/>
        <v>0.65400181956618075</v>
      </c>
      <c r="L143" s="383">
        <f t="shared" si="24"/>
        <v>0.61552901966036089</v>
      </c>
      <c r="M143" s="383">
        <f t="shared" si="24"/>
        <v>0.57790906803835962</v>
      </c>
      <c r="N143" s="383">
        <f t="shared" si="24"/>
        <v>0.54112331121111734</v>
      </c>
      <c r="O143" s="383">
        <f t="shared" si="24"/>
        <v>0.50515349930649145</v>
      </c>
      <c r="P143" s="383">
        <f t="shared" si="24"/>
        <v>0.46998177741280189</v>
      </c>
      <c r="Q143" s="383">
        <f t="shared" si="24"/>
        <v>0.43559067710666882</v>
      </c>
      <c r="R143" s="383">
        <f t="shared" si="24"/>
        <v>0.40196310816124214</v>
      </c>
      <c r="S143" s="383">
        <f t="shared" si="24"/>
        <v>0.36908235043100623</v>
      </c>
      <c r="T143" s="483">
        <f t="shared" si="24"/>
        <v>0.33693204590942383</v>
      </c>
    </row>
    <row r="144" spans="1:284" s="198" customFormat="1" x14ac:dyDescent="0.25">
      <c r="B144" s="267" t="s">
        <v>330</v>
      </c>
      <c r="C144" s="265"/>
      <c r="D144" s="473"/>
      <c r="E144" s="133">
        <f t="shared" ref="E144:P144" si="25">(E142+E125)/E120</f>
        <v>0.40211333346230438</v>
      </c>
      <c r="F144" s="133">
        <f t="shared" si="25"/>
        <v>0.38504212720098413</v>
      </c>
      <c r="G144" s="133">
        <f t="shared" si="25"/>
        <v>0.36834867402489563</v>
      </c>
      <c r="H144" s="133">
        <f t="shared" si="25"/>
        <v>0.35202472341176577</v>
      </c>
      <c r="I144" s="133">
        <f t="shared" si="25"/>
        <v>0.33606220315542545</v>
      </c>
      <c r="J144" s="133">
        <f t="shared" si="25"/>
        <v>0.32045321554507905</v>
      </c>
      <c r="K144" s="133">
        <f t="shared" si="25"/>
        <v>0.30519003362584968</v>
      </c>
      <c r="L144" s="133">
        <f t="shared" si="25"/>
        <v>0.29026509753888136</v>
      </c>
      <c r="M144" s="133">
        <f t="shared" si="25"/>
        <v>0.27567101093931817</v>
      </c>
      <c r="N144" s="133">
        <f t="shared" si="25"/>
        <v>0.26140053749050918</v>
      </c>
      <c r="O144" s="133">
        <f t="shared" si="25"/>
        <v>0.24744659743283223</v>
      </c>
      <c r="P144" s="133">
        <f t="shared" si="25"/>
        <v>0.23380226422555433</v>
      </c>
      <c r="Q144" s="133">
        <f>IFERROR((Q142+Q125)/Q120,"")</f>
        <v>0.22046076126018524</v>
      </c>
      <c r="R144" s="133">
        <f>IFERROR((R142+R125)/R120,"")</f>
        <v>0.20741545864381164</v>
      </c>
      <c r="S144" s="133">
        <f>IFERROR((S142+S125)/S120,"")</f>
        <v>0.19465987005093099</v>
      </c>
      <c r="T144" s="388">
        <f>IFERROR((T142+T125)/T120,"")</f>
        <v>0.18218764964233541</v>
      </c>
    </row>
    <row r="145" spans="6:19" s="198" customFormat="1" x14ac:dyDescent="0.25"/>
    <row r="146" spans="6:19" s="15" customFormat="1" x14ac:dyDescent="0.25"/>
    <row r="147" spans="6:19" s="15" customFormat="1" x14ac:dyDescent="0.25">
      <c r="F147" s="781" t="s">
        <v>94</v>
      </c>
      <c r="G147" s="782"/>
      <c r="Q147" s="781" t="s">
        <v>331</v>
      </c>
      <c r="R147" s="783"/>
      <c r="S147" s="782"/>
    </row>
    <row r="148" spans="6:19" s="15" customFormat="1" x14ac:dyDescent="0.25">
      <c r="F148" s="784" t="s">
        <v>95</v>
      </c>
      <c r="G148" s="785"/>
      <c r="Q148" s="784" t="s">
        <v>95</v>
      </c>
      <c r="R148" s="786"/>
      <c r="S148" s="785"/>
    </row>
    <row r="149" spans="6:19" s="15" customFormat="1" x14ac:dyDescent="0.25">
      <c r="F149" s="784" t="s">
        <v>96</v>
      </c>
      <c r="G149" s="785"/>
      <c r="Q149" s="474">
        <f>$C$139</f>
        <v>0.8</v>
      </c>
      <c r="R149" s="788" t="s">
        <v>332</v>
      </c>
      <c r="S149" s="789"/>
    </row>
    <row r="150" spans="6:19" s="198" customFormat="1" x14ac:dyDescent="0.25">
      <c r="F150" s="790" t="str">
        <f>IF(G152="NOT POSSIBLE",G152,"YEAR"&amp;" "&amp;G152)</f>
        <v>YEAR 14</v>
      </c>
      <c r="G150" s="791"/>
      <c r="Q150" s="790" t="str">
        <f>IF(R152="NOT POSSIBLE",R152,"YEAR"&amp;" "&amp;R152)</f>
        <v>YEAR 7</v>
      </c>
      <c r="R150" s="792"/>
      <c r="S150" s="791"/>
    </row>
    <row r="151" spans="6:19" s="198" customFormat="1" x14ac:dyDescent="0.25">
      <c r="F151" s="43"/>
      <c r="G151" s="489"/>
      <c r="Q151" s="793"/>
      <c r="R151" s="793"/>
      <c r="S151" s="793"/>
    </row>
    <row r="152" spans="6:19" s="198" customFormat="1" x14ac:dyDescent="0.25">
      <c r="F152" s="48" t="s">
        <v>423</v>
      </c>
      <c r="G152" s="554">
        <f>IF(AND($F$131&lt;=0.7,$F$132&lt;=0.3),1,(IF(AND($G$131=0.7,$G$132&lt;=0.3),2,(IF(AND($H$131&lt;=0.7,$H$132&lt;=0.3),3,(IF(AND($I$131&lt;=0.7,$I$132&lt;=0.3),4,(IF(AND($J$131&lt;=0.7,$J$132&lt;=0.3),5,(IF(AND($K$131&lt;=0.7,$K$132&lt;=0.3),6,(IF(AND($L$131&lt;=0.7,$L$132&lt;=0.3),7,(IF(AND($M$131&lt;=0.7,$M$132&lt;=0.3),8,(IF(AND($N$131&lt;=0.7,$N$132&lt;=0.3),9,(IF(AND($O$131&lt;=0.7,$O$132&lt;=0.3),10,(IF(AND($P$131&lt;=0.7,$P$132&lt;=0.3),11,(IF(AND($Q$131&lt;=0.7,$Q$132&lt;=0.3),12,(IF(AND($R$131&lt;=0.7,$R$132&lt;=0.3),13,(IF(AND($S$131&lt;=0.7,$S$132&lt;=0.3),14,(IF(AND($T$131&lt;=0.7,$T$132&lt;=0.3),15,"NOT POSSIBLE")))))))))))))))))))))))))))))</f>
        <v>14</v>
      </c>
      <c r="Q152" s="48" t="s">
        <v>423</v>
      </c>
      <c r="R152" s="787">
        <f>IF(AND($F$143&lt;=0.7,$F$144&lt;=0.3),1,(IF(AND($G$143=0.7,$G$144&lt;=0.3),2,(IF(AND($H$143&lt;=0.7,$H$144&lt;=0.3),3,(IF(AND($I$143&lt;=0.7,$I$144&lt;=0.3),4,(IF(AND($J$143&lt;=0.7,$J$144&lt;=0.3),5,(IF(AND($K$143&lt;=0.7,$K$144&lt;=0.3),6,(IF(AND($L$143&lt;=0.7,$L$144&lt;=0.3),7,(IF(AND($M$143&lt;=0.7,$M$144&lt;=0.3),8,(IF(AND($N$143&lt;=0.7,$N$144&lt;=0.3),9,(IF(AND($O$143&lt;=0.7,$O$144&lt;=0.3),10,(IF(AND($P$143&lt;=0.7,$P$144&lt;=0.3),11,(IF(AND($Q$143&lt;=0.7,$Q$144&lt;=0.3),12,(IF(AND($R$143&lt;=0.7,$R$144&lt;=0.3),13,(IF(AND($S$143&lt;=0.7,$S$144&lt;=0.3),14,(IF(AND($T$143&lt;=0.7,$T$144&lt;=0.3),15,"NOT POSSIBLE")))))))))))))))))))))))))))))</f>
        <v>7</v>
      </c>
      <c r="S152" s="787"/>
    </row>
    <row r="153" spans="6:19" s="198" customFormat="1" x14ac:dyDescent="0.25">
      <c r="F153" s="48"/>
      <c r="G153" s="48"/>
      <c r="Q153" s="43"/>
      <c r="R153" s="43"/>
      <c r="S153" s="43"/>
    </row>
    <row r="154" spans="6:19" s="198" customFormat="1" x14ac:dyDescent="0.25">
      <c r="F154" s="43"/>
      <c r="G154" s="43"/>
      <c r="Q154" s="43"/>
      <c r="R154" s="43"/>
      <c r="S154" s="43"/>
    </row>
    <row r="155" spans="6:19" s="198" customFormat="1" x14ac:dyDescent="0.25">
      <c r="F155" s="43"/>
      <c r="G155" s="43"/>
      <c r="Q155" s="43"/>
      <c r="R155" s="43"/>
      <c r="S155" s="43"/>
    </row>
    <row r="156" spans="6:19" s="198" customFormat="1" x14ac:dyDescent="0.25">
      <c r="F156" s="43"/>
      <c r="G156" s="43"/>
      <c r="Q156" s="43"/>
      <c r="R156" s="43"/>
      <c r="S156" s="43"/>
    </row>
    <row r="157" spans="6:19" s="198" customFormat="1" x14ac:dyDescent="0.25">
      <c r="Q157" s="43"/>
      <c r="R157" s="43"/>
      <c r="S157" s="43"/>
    </row>
    <row r="158" spans="6:19" s="198" customFormat="1" x14ac:dyDescent="0.25">
      <c r="Q158" s="43"/>
      <c r="R158" s="43"/>
      <c r="S158" s="43"/>
    </row>
    <row r="159" spans="6:19" s="198" customFormat="1" x14ac:dyDescent="0.25">
      <c r="Q159" s="43"/>
      <c r="R159" s="43"/>
      <c r="S159" s="43"/>
    </row>
    <row r="160" spans="6:19" s="198" customFormat="1" x14ac:dyDescent="0.25"/>
    <row r="161" s="198" customFormat="1" x14ac:dyDescent="0.25"/>
    <row r="162" s="198" customFormat="1" x14ac:dyDescent="0.25"/>
    <row r="163" s="198" customFormat="1" x14ac:dyDescent="0.25"/>
    <row r="164" s="198" customFormat="1" x14ac:dyDescent="0.25"/>
    <row r="165" s="198" customFormat="1" x14ac:dyDescent="0.25"/>
    <row r="166" s="198" customFormat="1" x14ac:dyDescent="0.25"/>
    <row r="167" s="198" customFormat="1" x14ac:dyDescent="0.25"/>
    <row r="168" s="198" customFormat="1" x14ac:dyDescent="0.25"/>
    <row r="169" s="198" customFormat="1" x14ac:dyDescent="0.25"/>
    <row r="170" s="198" customFormat="1" x14ac:dyDescent="0.25"/>
    <row r="171" s="198" customFormat="1" x14ac:dyDescent="0.25"/>
    <row r="172" s="198" customFormat="1" x14ac:dyDescent="0.25"/>
    <row r="173" s="198" customFormat="1" x14ac:dyDescent="0.25"/>
    <row r="174" s="198" customFormat="1" x14ac:dyDescent="0.25"/>
    <row r="175" s="198" customFormat="1" x14ac:dyDescent="0.25"/>
    <row r="176" s="198" customFormat="1" x14ac:dyDescent="0.25"/>
    <row r="177" spans="1:16" x14ac:dyDescent="0.25">
      <c r="A177" s="198"/>
      <c r="B177" s="198"/>
      <c r="C177" s="198"/>
      <c r="D177" s="198"/>
      <c r="E177" s="198"/>
      <c r="F177" s="198"/>
      <c r="G177" s="198"/>
      <c r="H177" s="198"/>
      <c r="I177" s="198"/>
      <c r="J177" s="198"/>
      <c r="K177" s="198"/>
      <c r="L177" s="198"/>
      <c r="M177" s="198"/>
      <c r="N177" s="198"/>
      <c r="O177" s="198"/>
      <c r="P177" s="198"/>
    </row>
    <row r="178" spans="1:16" x14ac:dyDescent="0.25">
      <c r="A178" s="198"/>
      <c r="B178" s="198"/>
      <c r="C178" s="198"/>
      <c r="D178" s="198"/>
      <c r="E178" s="198"/>
      <c r="F178" s="198"/>
      <c r="G178" s="198"/>
      <c r="H178" s="198"/>
      <c r="I178" s="198"/>
      <c r="J178" s="198"/>
      <c r="K178" s="198"/>
      <c r="L178" s="198"/>
      <c r="M178" s="198"/>
      <c r="N178" s="198"/>
      <c r="O178" s="198"/>
      <c r="P178" s="198"/>
    </row>
    <row r="179" spans="1:16" x14ac:dyDescent="0.25">
      <c r="A179" s="198"/>
      <c r="B179" s="198"/>
      <c r="C179" s="198"/>
      <c r="D179" s="198"/>
      <c r="E179" s="198"/>
      <c r="F179" s="198"/>
      <c r="G179" s="198"/>
      <c r="H179" s="198"/>
      <c r="I179" s="198"/>
      <c r="J179" s="198"/>
      <c r="K179" s="198"/>
      <c r="L179" s="198"/>
      <c r="M179" s="198"/>
      <c r="N179" s="198"/>
      <c r="O179" s="198"/>
      <c r="P179" s="198"/>
    </row>
    <row r="180" spans="1:16" x14ac:dyDescent="0.25">
      <c r="A180" s="198"/>
      <c r="B180" s="198"/>
      <c r="C180" s="198"/>
      <c r="D180" s="198"/>
      <c r="E180" s="198"/>
      <c r="F180" s="198"/>
      <c r="G180" s="198"/>
      <c r="H180" s="198"/>
      <c r="I180" s="198"/>
      <c r="J180" s="198"/>
      <c r="K180" s="198"/>
      <c r="L180" s="198"/>
      <c r="M180" s="198"/>
      <c r="N180" s="198"/>
      <c r="O180" s="198"/>
      <c r="P180" s="198"/>
    </row>
    <row r="181" spans="1:16" x14ac:dyDescent="0.25">
      <c r="A181" s="198"/>
      <c r="B181" s="198"/>
      <c r="C181" s="198"/>
      <c r="D181" s="198"/>
      <c r="E181" s="198"/>
      <c r="F181" s="198"/>
      <c r="G181" s="198"/>
      <c r="H181" s="198"/>
      <c r="I181" s="198"/>
      <c r="J181" s="198"/>
      <c r="K181" s="198"/>
      <c r="L181" s="198"/>
      <c r="M181" s="198"/>
      <c r="N181" s="198"/>
      <c r="O181" s="198"/>
      <c r="P181" s="198"/>
    </row>
    <row r="182" spans="1:16" x14ac:dyDescent="0.25">
      <c r="A182" s="198"/>
      <c r="B182" s="198"/>
      <c r="C182" s="198"/>
      <c r="D182" s="198"/>
      <c r="E182" s="198"/>
      <c r="F182" s="198"/>
      <c r="G182" s="198"/>
      <c r="H182" s="198"/>
      <c r="I182" s="198"/>
      <c r="J182" s="198"/>
      <c r="K182" s="198"/>
      <c r="L182" s="198"/>
      <c r="M182" s="198"/>
      <c r="N182" s="198"/>
      <c r="O182" s="198"/>
      <c r="P182" s="198"/>
    </row>
    <row r="183" spans="1:16" x14ac:dyDescent="0.25">
      <c r="A183" s="198"/>
      <c r="B183" s="198"/>
      <c r="C183" s="198"/>
      <c r="D183" s="198"/>
      <c r="E183" s="198"/>
      <c r="F183" s="198"/>
      <c r="G183" s="198"/>
      <c r="H183" s="198"/>
      <c r="I183" s="198"/>
      <c r="J183" s="198"/>
      <c r="K183" s="198"/>
      <c r="L183" s="198"/>
      <c r="M183" s="198"/>
      <c r="N183" s="198"/>
      <c r="O183" s="198"/>
      <c r="P183" s="198"/>
    </row>
    <row r="184" spans="1:16" x14ac:dyDescent="0.25">
      <c r="A184" s="198"/>
      <c r="B184" s="198"/>
      <c r="C184" s="198"/>
      <c r="D184" s="198"/>
      <c r="E184" s="198"/>
      <c r="F184" s="198"/>
      <c r="G184" s="198"/>
      <c r="H184" s="198"/>
      <c r="I184" s="198"/>
      <c r="J184" s="198"/>
      <c r="K184" s="198"/>
      <c r="L184" s="198"/>
      <c r="M184" s="198"/>
      <c r="N184" s="198"/>
      <c r="O184" s="198"/>
      <c r="P184" s="198"/>
    </row>
    <row r="185" spans="1:16" s="198" customFormat="1" x14ac:dyDescent="0.25"/>
    <row r="186" spans="1:16" s="198" customFormat="1" x14ac:dyDescent="0.25"/>
    <row r="187" spans="1:16" s="198" customFormat="1" x14ac:dyDescent="0.25"/>
    <row r="188" spans="1:16" s="198" customFormat="1" x14ac:dyDescent="0.25"/>
    <row r="189" spans="1:16" s="198" customFormat="1" x14ac:dyDescent="0.25"/>
    <row r="190" spans="1:16" s="198" customFormat="1" x14ac:dyDescent="0.25"/>
    <row r="191" spans="1:16" s="198" customFormat="1" x14ac:dyDescent="0.25"/>
    <row r="192" spans="1:16" s="198" customFormat="1" x14ac:dyDescent="0.25"/>
    <row r="193" s="198" customFormat="1" x14ac:dyDescent="0.25"/>
    <row r="194" s="198" customFormat="1" x14ac:dyDescent="0.25"/>
    <row r="195" s="198" customFormat="1" x14ac:dyDescent="0.25"/>
    <row r="196" s="198" customFormat="1" x14ac:dyDescent="0.25"/>
    <row r="197" s="198" customFormat="1" x14ac:dyDescent="0.25"/>
    <row r="198" s="198" customFormat="1" x14ac:dyDescent="0.25"/>
    <row r="199" s="198" customFormat="1" x14ac:dyDescent="0.25"/>
    <row r="200" s="198" customFormat="1" x14ac:dyDescent="0.25"/>
    <row r="201" s="198" customFormat="1" x14ac:dyDescent="0.25"/>
    <row r="202" s="198" customFormat="1" x14ac:dyDescent="0.25"/>
    <row r="203" s="198" customFormat="1" x14ac:dyDescent="0.25"/>
    <row r="204" s="198" customFormat="1" x14ac:dyDescent="0.25"/>
    <row r="205" s="198" customFormat="1" x14ac:dyDescent="0.25"/>
    <row r="206" s="198" customFormat="1" x14ac:dyDescent="0.25"/>
    <row r="207" s="198" customFormat="1" x14ac:dyDescent="0.25"/>
    <row r="208" s="198" customFormat="1" x14ac:dyDescent="0.25"/>
    <row r="209" s="198" customFormat="1" x14ac:dyDescent="0.25"/>
    <row r="210" s="198" customFormat="1" x14ac:dyDescent="0.25"/>
    <row r="211" s="198" customFormat="1" x14ac:dyDescent="0.25"/>
    <row r="212" s="198" customFormat="1" x14ac:dyDescent="0.25"/>
    <row r="213" s="198" customFormat="1" x14ac:dyDescent="0.25"/>
    <row r="214" s="198" customFormat="1" x14ac:dyDescent="0.25"/>
    <row r="215" s="198" customFormat="1" x14ac:dyDescent="0.25"/>
    <row r="216" s="198" customFormat="1" x14ac:dyDescent="0.25"/>
    <row r="217" s="198" customFormat="1" x14ac:dyDescent="0.25"/>
    <row r="218" s="198" customFormat="1" x14ac:dyDescent="0.25"/>
    <row r="219" s="198" customFormat="1" x14ac:dyDescent="0.25"/>
    <row r="220" s="198" customFormat="1" x14ac:dyDescent="0.25"/>
    <row r="221" s="198" customFormat="1" x14ac:dyDescent="0.25"/>
    <row r="222" s="198" customFormat="1" x14ac:dyDescent="0.25"/>
    <row r="223" s="198" customFormat="1" x14ac:dyDescent="0.25"/>
    <row r="224" s="198" customFormat="1" x14ac:dyDescent="0.25"/>
    <row r="225" s="198" customFormat="1" x14ac:dyDescent="0.25"/>
    <row r="226" s="198" customFormat="1" x14ac:dyDescent="0.25"/>
    <row r="227" s="198" customFormat="1" x14ac:dyDescent="0.25"/>
    <row r="228" s="198" customFormat="1" x14ac:dyDescent="0.25"/>
    <row r="229" s="198" customFormat="1" x14ac:dyDescent="0.25"/>
    <row r="230" s="198" customFormat="1" x14ac:dyDescent="0.25"/>
    <row r="231" s="198" customFormat="1" x14ac:dyDescent="0.25"/>
    <row r="232" s="198" customFormat="1" x14ac:dyDescent="0.25"/>
    <row r="233" s="198" customFormat="1" x14ac:dyDescent="0.25"/>
    <row r="234" s="198" customFormat="1" x14ac:dyDescent="0.25"/>
    <row r="235" s="198" customFormat="1" x14ac:dyDescent="0.25"/>
    <row r="236" s="198" customFormat="1" x14ac:dyDescent="0.25"/>
    <row r="237" s="198" customFormat="1" x14ac:dyDescent="0.25"/>
    <row r="238" s="198" customFormat="1" x14ac:dyDescent="0.25"/>
    <row r="239" s="198" customFormat="1" x14ac:dyDescent="0.25"/>
    <row r="240" s="198" customFormat="1" x14ac:dyDescent="0.25"/>
    <row r="241" s="198" customFormat="1" x14ac:dyDescent="0.25"/>
    <row r="242" s="198" customFormat="1" x14ac:dyDescent="0.25"/>
    <row r="243" s="198" customFormat="1" x14ac:dyDescent="0.25"/>
    <row r="244" s="198" customFormat="1" x14ac:dyDescent="0.25"/>
    <row r="245" s="198" customFormat="1" x14ac:dyDescent="0.25"/>
    <row r="246" s="198" customFormat="1" x14ac:dyDescent="0.25"/>
    <row r="247" s="198" customFormat="1" x14ac:dyDescent="0.25"/>
    <row r="248" s="198" customFormat="1" x14ac:dyDescent="0.25"/>
    <row r="249" s="198" customFormat="1" x14ac:dyDescent="0.25"/>
    <row r="250" s="198" customFormat="1" x14ac:dyDescent="0.25"/>
    <row r="251" s="198" customFormat="1" x14ac:dyDescent="0.25"/>
    <row r="252" s="198" customFormat="1" x14ac:dyDescent="0.25"/>
    <row r="253" s="198" customFormat="1" x14ac:dyDescent="0.25"/>
    <row r="254" s="198" customFormat="1" x14ac:dyDescent="0.25"/>
    <row r="255" s="198" customFormat="1" x14ac:dyDescent="0.25"/>
    <row r="256" s="198" customFormat="1" x14ac:dyDescent="0.25"/>
    <row r="257" s="198" customFormat="1" x14ac:dyDescent="0.25"/>
    <row r="258" s="198" customFormat="1" x14ac:dyDescent="0.25"/>
    <row r="259" s="198" customFormat="1" x14ac:dyDescent="0.25"/>
    <row r="260" s="198" customFormat="1" x14ac:dyDescent="0.25"/>
    <row r="261" s="198" customFormat="1" x14ac:dyDescent="0.25"/>
    <row r="262" s="198" customFormat="1" x14ac:dyDescent="0.25"/>
    <row r="263" s="198" customFormat="1" x14ac:dyDescent="0.25"/>
    <row r="264" s="198" customFormat="1" x14ac:dyDescent="0.25"/>
    <row r="265" s="198" customFormat="1" x14ac:dyDescent="0.25"/>
    <row r="266" s="198" customFormat="1" x14ac:dyDescent="0.25"/>
    <row r="267" s="198" customFormat="1" x14ac:dyDescent="0.25"/>
    <row r="268" s="198" customFormat="1" x14ac:dyDescent="0.25"/>
    <row r="269" s="198" customFormat="1" x14ac:dyDescent="0.25"/>
    <row r="270" s="198" customFormat="1" x14ac:dyDescent="0.25"/>
    <row r="271" s="198" customFormat="1" x14ac:dyDescent="0.25"/>
    <row r="272" s="198" customFormat="1" x14ac:dyDescent="0.25"/>
    <row r="273" s="198" customFormat="1" x14ac:dyDescent="0.25"/>
    <row r="274" s="198" customFormat="1" x14ac:dyDescent="0.25"/>
    <row r="275" s="198" customFormat="1" x14ac:dyDescent="0.25"/>
    <row r="276" s="198" customFormat="1" x14ac:dyDescent="0.25"/>
    <row r="277" s="198" customFormat="1" x14ac:dyDescent="0.25"/>
    <row r="278" s="198" customFormat="1" x14ac:dyDescent="0.25"/>
    <row r="279" s="198" customFormat="1" x14ac:dyDescent="0.25"/>
    <row r="280" s="198" customFormat="1" x14ac:dyDescent="0.25"/>
    <row r="281" s="198" customFormat="1" x14ac:dyDescent="0.25"/>
    <row r="282" s="198" customFormat="1" x14ac:dyDescent="0.25"/>
    <row r="283" s="198" customFormat="1" x14ac:dyDescent="0.25"/>
    <row r="284" s="198" customFormat="1" x14ac:dyDescent="0.25"/>
    <row r="285" s="198" customFormat="1" x14ac:dyDescent="0.25"/>
    <row r="286" s="198" customFormat="1" x14ac:dyDescent="0.25"/>
    <row r="287" s="198" customFormat="1" x14ac:dyDescent="0.25"/>
    <row r="288" s="198" customFormat="1" x14ac:dyDescent="0.25"/>
    <row r="289" s="198" customFormat="1" x14ac:dyDescent="0.25"/>
    <row r="290" s="198" customFormat="1" x14ac:dyDescent="0.25"/>
    <row r="291" s="198" customFormat="1" x14ac:dyDescent="0.25"/>
    <row r="292" s="198" customFormat="1" x14ac:dyDescent="0.25"/>
    <row r="293" s="198" customFormat="1" x14ac:dyDescent="0.25"/>
    <row r="294" s="198" customFormat="1" x14ac:dyDescent="0.25"/>
    <row r="295" s="198" customFormat="1" x14ac:dyDescent="0.25"/>
    <row r="296" s="198" customFormat="1" x14ac:dyDescent="0.25"/>
    <row r="297" s="198" customFormat="1" x14ac:dyDescent="0.25"/>
    <row r="298" s="198" customFormat="1" x14ac:dyDescent="0.25"/>
    <row r="299" s="198" customFormat="1" x14ac:dyDescent="0.25"/>
    <row r="300" s="198" customFormat="1" x14ac:dyDescent="0.25"/>
    <row r="301" s="198" customFormat="1" x14ac:dyDescent="0.25"/>
    <row r="302" s="198" customFormat="1" x14ac:dyDescent="0.25"/>
    <row r="303" s="198" customFormat="1" x14ac:dyDescent="0.25"/>
    <row r="304" s="198" customFormat="1" x14ac:dyDescent="0.25"/>
    <row r="305" s="198" customFormat="1" x14ac:dyDescent="0.25"/>
    <row r="306" s="198" customFormat="1" x14ac:dyDescent="0.25"/>
    <row r="307" s="198" customFormat="1" x14ac:dyDescent="0.25"/>
    <row r="308" s="198" customFormat="1" x14ac:dyDescent="0.25"/>
    <row r="309" s="198" customFormat="1" x14ac:dyDescent="0.25"/>
    <row r="310" s="198" customFormat="1" x14ac:dyDescent="0.25"/>
    <row r="311" s="198" customFormat="1" x14ac:dyDescent="0.25"/>
    <row r="312" s="198" customFormat="1" x14ac:dyDescent="0.25"/>
    <row r="313" s="198" customFormat="1" x14ac:dyDescent="0.25"/>
    <row r="314" s="198" customFormat="1" x14ac:dyDescent="0.25"/>
    <row r="315" s="198" customFormat="1" x14ac:dyDescent="0.25"/>
    <row r="316" s="198" customFormat="1" x14ac:dyDescent="0.25"/>
    <row r="317" s="198" customFormat="1" x14ac:dyDescent="0.25"/>
    <row r="318" s="198" customFormat="1" x14ac:dyDescent="0.25"/>
    <row r="319" s="198" customFormat="1" x14ac:dyDescent="0.25"/>
    <row r="320" s="198" customFormat="1" x14ac:dyDescent="0.25"/>
    <row r="321" s="198" customFormat="1" x14ac:dyDescent="0.25"/>
    <row r="322" s="198" customFormat="1" x14ac:dyDescent="0.25"/>
    <row r="323" s="198" customFormat="1" x14ac:dyDescent="0.25"/>
    <row r="324" s="198" customFormat="1" x14ac:dyDescent="0.25"/>
    <row r="325" s="198" customFormat="1" x14ac:dyDescent="0.25"/>
    <row r="326" s="198" customFormat="1" x14ac:dyDescent="0.25"/>
    <row r="327" s="198" customFormat="1" x14ac:dyDescent="0.25"/>
    <row r="328" s="198" customFormat="1" x14ac:dyDescent="0.25"/>
    <row r="329" s="198" customFormat="1" x14ac:dyDescent="0.25"/>
    <row r="330" s="198" customFormat="1" x14ac:dyDescent="0.25"/>
    <row r="331" s="198" customFormat="1" x14ac:dyDescent="0.25"/>
    <row r="332" s="198" customFormat="1" x14ac:dyDescent="0.25"/>
    <row r="333" s="198" customFormat="1" x14ac:dyDescent="0.25"/>
    <row r="334" s="198" customFormat="1" x14ac:dyDescent="0.25"/>
    <row r="335" s="198" customFormat="1" x14ac:dyDescent="0.25"/>
    <row r="336" s="198" customFormat="1" x14ac:dyDescent="0.25"/>
    <row r="337" s="198" customFormat="1" x14ac:dyDescent="0.25"/>
    <row r="338" s="198" customFormat="1" x14ac:dyDescent="0.25"/>
    <row r="339" s="198" customFormat="1" x14ac:dyDescent="0.25"/>
    <row r="340" s="198" customFormat="1" x14ac:dyDescent="0.25"/>
    <row r="341" s="198" customFormat="1" x14ac:dyDescent="0.25"/>
    <row r="342" s="198" customFormat="1" x14ac:dyDescent="0.25"/>
    <row r="343" s="198" customFormat="1" x14ac:dyDescent="0.25"/>
    <row r="344" s="198" customFormat="1" x14ac:dyDescent="0.25"/>
    <row r="345" s="198" customFormat="1" x14ac:dyDescent="0.25"/>
    <row r="346" s="198" customFormat="1" x14ac:dyDescent="0.25"/>
    <row r="347" s="198" customFormat="1" x14ac:dyDescent="0.25"/>
    <row r="348" s="198" customFormat="1" x14ac:dyDescent="0.25"/>
    <row r="349" s="198" customFormat="1" x14ac:dyDescent="0.25"/>
    <row r="350" s="198" customFormat="1" x14ac:dyDescent="0.25"/>
    <row r="351" s="198" customFormat="1" x14ac:dyDescent="0.25"/>
    <row r="352" s="198" customFormat="1" x14ac:dyDescent="0.25"/>
    <row r="353" s="198" customFormat="1" x14ac:dyDescent="0.25"/>
    <row r="354" s="198" customFormat="1" x14ac:dyDescent="0.25"/>
    <row r="355" s="198" customFormat="1" x14ac:dyDescent="0.25"/>
    <row r="356" s="198" customFormat="1" x14ac:dyDescent="0.25"/>
    <row r="357" s="198" customFormat="1" x14ac:dyDescent="0.25"/>
    <row r="358" s="198" customFormat="1" x14ac:dyDescent="0.25"/>
    <row r="359" s="198" customFormat="1" x14ac:dyDescent="0.25"/>
    <row r="360" s="198" customFormat="1" x14ac:dyDescent="0.25"/>
    <row r="361" s="198" customFormat="1" x14ac:dyDescent="0.25"/>
    <row r="362" s="198" customFormat="1" x14ac:dyDescent="0.25"/>
    <row r="363" s="198" customFormat="1" x14ac:dyDescent="0.25"/>
    <row r="364" s="198" customFormat="1" x14ac:dyDescent="0.25"/>
    <row r="365" s="198" customFormat="1" x14ac:dyDescent="0.25"/>
    <row r="366" s="198" customFormat="1" x14ac:dyDescent="0.25"/>
    <row r="367" s="198" customFormat="1" x14ac:dyDescent="0.25"/>
    <row r="368" s="198" customFormat="1" x14ac:dyDescent="0.25"/>
    <row r="369" s="198" customFormat="1" x14ac:dyDescent="0.25"/>
    <row r="370" s="198" customFormat="1" x14ac:dyDescent="0.25"/>
    <row r="371" s="198" customFormat="1" x14ac:dyDescent="0.25"/>
    <row r="372" s="198" customFormat="1" x14ac:dyDescent="0.25"/>
    <row r="373" s="198" customFormat="1" x14ac:dyDescent="0.25"/>
    <row r="374" s="198" customFormat="1" x14ac:dyDescent="0.25"/>
    <row r="375" s="198" customFormat="1" x14ac:dyDescent="0.25"/>
    <row r="376" s="198" customFormat="1" x14ac:dyDescent="0.25"/>
    <row r="377" s="198" customFormat="1" x14ac:dyDescent="0.25"/>
    <row r="378" s="198" customFormat="1" x14ac:dyDescent="0.25"/>
    <row r="379" s="198" customFormat="1" x14ac:dyDescent="0.25"/>
    <row r="380" s="198" customFormat="1" x14ac:dyDescent="0.25"/>
    <row r="381" s="198" customFormat="1" x14ac:dyDescent="0.25"/>
    <row r="382" s="198" customFormat="1" x14ac:dyDescent="0.25"/>
    <row r="383" s="198" customFormat="1" x14ac:dyDescent="0.25"/>
    <row r="384" s="198" customFormat="1" x14ac:dyDescent="0.25"/>
    <row r="385" s="198" customFormat="1" x14ac:dyDescent="0.25"/>
    <row r="386" s="198" customFormat="1" x14ac:dyDescent="0.25"/>
    <row r="387" s="198" customFormat="1" x14ac:dyDescent="0.25"/>
    <row r="388" s="198" customFormat="1" x14ac:dyDescent="0.25"/>
    <row r="389" s="198" customFormat="1" x14ac:dyDescent="0.25"/>
    <row r="390" s="198" customFormat="1" x14ac:dyDescent="0.25"/>
    <row r="391" s="198" customFormat="1" x14ac:dyDescent="0.25"/>
    <row r="392" s="198" customFormat="1" x14ac:dyDescent="0.25"/>
    <row r="393" s="198" customFormat="1" x14ac:dyDescent="0.25"/>
    <row r="394" s="198" customFormat="1" x14ac:dyDescent="0.25"/>
    <row r="395" s="198" customFormat="1" x14ac:dyDescent="0.25"/>
    <row r="396" s="198" customFormat="1" x14ac:dyDescent="0.25"/>
    <row r="397" s="198" customFormat="1" x14ac:dyDescent="0.25"/>
    <row r="398" s="198" customFormat="1" x14ac:dyDescent="0.25"/>
    <row r="399" s="198" customFormat="1" x14ac:dyDescent="0.25"/>
    <row r="400" s="198" customFormat="1" x14ac:dyDescent="0.25"/>
    <row r="401" s="198" customFormat="1" x14ac:dyDescent="0.25"/>
    <row r="402" s="198" customFormat="1" x14ac:dyDescent="0.25"/>
    <row r="403" s="198" customFormat="1" x14ac:dyDescent="0.25"/>
    <row r="404" s="198" customFormat="1" x14ac:dyDescent="0.25"/>
    <row r="405" s="198" customFormat="1" x14ac:dyDescent="0.25"/>
    <row r="406" s="198" customFormat="1" x14ac:dyDescent="0.25"/>
    <row r="407" s="198" customFormat="1" x14ac:dyDescent="0.25"/>
    <row r="408" s="198" customFormat="1" x14ac:dyDescent="0.25"/>
    <row r="409" s="198" customFormat="1" x14ac:dyDescent="0.25"/>
    <row r="410" s="198" customFormat="1" x14ac:dyDescent="0.25"/>
    <row r="411" s="198" customFormat="1" x14ac:dyDescent="0.25"/>
    <row r="412" s="198" customFormat="1" x14ac:dyDescent="0.25"/>
    <row r="413" s="198" customFormat="1" x14ac:dyDescent="0.25"/>
    <row r="414" s="198" customFormat="1" x14ac:dyDescent="0.25"/>
    <row r="415" s="198" customFormat="1" x14ac:dyDescent="0.25"/>
    <row r="416" s="198" customFormat="1" x14ac:dyDescent="0.25"/>
    <row r="417" s="198" customFormat="1" x14ac:dyDescent="0.25"/>
    <row r="418" s="198" customFormat="1" x14ac:dyDescent="0.25"/>
    <row r="419" s="198" customFormat="1" x14ac:dyDescent="0.25"/>
    <row r="420" s="198" customFormat="1" x14ac:dyDescent="0.25"/>
    <row r="421" s="198" customFormat="1" x14ac:dyDescent="0.25"/>
    <row r="422" s="198" customFormat="1" x14ac:dyDescent="0.25"/>
    <row r="423" s="198" customFormat="1" x14ac:dyDescent="0.25"/>
    <row r="424" s="198" customFormat="1" x14ac:dyDescent="0.25"/>
    <row r="425" s="198" customFormat="1" x14ac:dyDescent="0.25"/>
    <row r="426" s="198" customFormat="1" x14ac:dyDescent="0.25"/>
    <row r="427" s="198" customFormat="1" x14ac:dyDescent="0.25"/>
    <row r="428" s="198" customFormat="1" x14ac:dyDescent="0.25"/>
    <row r="429" s="198" customFormat="1" x14ac:dyDescent="0.25"/>
    <row r="430" s="198" customFormat="1" x14ac:dyDescent="0.25"/>
    <row r="431" s="198" customFormat="1" x14ac:dyDescent="0.25"/>
    <row r="432" s="198" customFormat="1" x14ac:dyDescent="0.25"/>
    <row r="433" s="198" customFormat="1" x14ac:dyDescent="0.25"/>
    <row r="434" s="198" customFormat="1" x14ac:dyDescent="0.25"/>
    <row r="435" s="198" customFormat="1" x14ac:dyDescent="0.25"/>
    <row r="436" s="198" customFormat="1" x14ac:dyDescent="0.25"/>
    <row r="437" s="198" customFormat="1" x14ac:dyDescent="0.25"/>
    <row r="438" s="198" customFormat="1" x14ac:dyDescent="0.25"/>
    <row r="439" s="198" customFormat="1" x14ac:dyDescent="0.25"/>
    <row r="440" s="198" customFormat="1" x14ac:dyDescent="0.25"/>
    <row r="441" s="198" customFormat="1" x14ac:dyDescent="0.25"/>
    <row r="442" s="198" customFormat="1" x14ac:dyDescent="0.25"/>
    <row r="443" s="198" customFormat="1" x14ac:dyDescent="0.25"/>
    <row r="444" s="198" customFormat="1" x14ac:dyDescent="0.25"/>
    <row r="445" s="198" customFormat="1" x14ac:dyDescent="0.25"/>
    <row r="446" s="198" customFormat="1" x14ac:dyDescent="0.25"/>
    <row r="447" s="198" customFormat="1" x14ac:dyDescent="0.25"/>
    <row r="448" s="198" customFormat="1" x14ac:dyDescent="0.25"/>
    <row r="449" s="198" customFormat="1" x14ac:dyDescent="0.25"/>
    <row r="450" s="198" customFormat="1" x14ac:dyDescent="0.25"/>
    <row r="451" s="198" customFormat="1" x14ac:dyDescent="0.25"/>
    <row r="452" s="198" customFormat="1" x14ac:dyDescent="0.25"/>
    <row r="453" s="198" customFormat="1" x14ac:dyDescent="0.25"/>
    <row r="454" s="198" customFormat="1" x14ac:dyDescent="0.25"/>
    <row r="455" s="198" customFormat="1" x14ac:dyDescent="0.25"/>
    <row r="456" s="198" customFormat="1" x14ac:dyDescent="0.25"/>
    <row r="457" s="198" customFormat="1" x14ac:dyDescent="0.25"/>
    <row r="458" s="198" customFormat="1" x14ac:dyDescent="0.25"/>
    <row r="459" s="198" customFormat="1" x14ac:dyDescent="0.25"/>
    <row r="460" s="198" customFormat="1" x14ac:dyDescent="0.25"/>
    <row r="461" s="198" customFormat="1" x14ac:dyDescent="0.25"/>
    <row r="462" s="198" customFormat="1" x14ac:dyDescent="0.25"/>
    <row r="463" s="198" customFormat="1" x14ac:dyDescent="0.25"/>
    <row r="464" s="198" customFormat="1" x14ac:dyDescent="0.25"/>
    <row r="465" s="198" customFormat="1" x14ac:dyDescent="0.25"/>
    <row r="466" s="198" customFormat="1" x14ac:dyDescent="0.25"/>
    <row r="467" s="198" customFormat="1" x14ac:dyDescent="0.25"/>
    <row r="468" s="198" customFormat="1" x14ac:dyDescent="0.25"/>
    <row r="469" s="198" customFormat="1" x14ac:dyDescent="0.25"/>
    <row r="470" s="198" customFormat="1" x14ac:dyDescent="0.25"/>
    <row r="471" s="198" customFormat="1" x14ac:dyDescent="0.25"/>
    <row r="472" s="198" customFormat="1" x14ac:dyDescent="0.25"/>
    <row r="473" s="198" customFormat="1" x14ac:dyDescent="0.25"/>
    <row r="474" s="198" customFormat="1" x14ac:dyDescent="0.25"/>
    <row r="475" s="198" customFormat="1" x14ac:dyDescent="0.25"/>
    <row r="476" s="198" customFormat="1" x14ac:dyDescent="0.25"/>
    <row r="477" s="198" customFormat="1" x14ac:dyDescent="0.25"/>
    <row r="478" s="198" customFormat="1" x14ac:dyDescent="0.25"/>
    <row r="479" s="198" customFormat="1" x14ac:dyDescent="0.25"/>
    <row r="480" s="198" customFormat="1" x14ac:dyDescent="0.25"/>
    <row r="481" s="198" customFormat="1" x14ac:dyDescent="0.25"/>
    <row r="482" s="198" customFormat="1" x14ac:dyDescent="0.25"/>
    <row r="483" s="198" customFormat="1" x14ac:dyDescent="0.25"/>
    <row r="484" s="198" customFormat="1" x14ac:dyDescent="0.25"/>
    <row r="485" s="198" customFormat="1" x14ac:dyDescent="0.25"/>
    <row r="486" s="198" customFormat="1" x14ac:dyDescent="0.25"/>
    <row r="487" s="198" customFormat="1" x14ac:dyDescent="0.25"/>
    <row r="488" s="198" customFormat="1" x14ac:dyDescent="0.25"/>
    <row r="489" s="198" customFormat="1" x14ac:dyDescent="0.25"/>
    <row r="490" s="198" customFormat="1" x14ac:dyDescent="0.25"/>
    <row r="491" s="198" customFormat="1" x14ac:dyDescent="0.25"/>
    <row r="492" s="198" customFormat="1" x14ac:dyDescent="0.25"/>
    <row r="493" s="198" customFormat="1" x14ac:dyDescent="0.25"/>
    <row r="494" s="198" customFormat="1" x14ac:dyDescent="0.25"/>
    <row r="495" s="198" customFormat="1" x14ac:dyDescent="0.25"/>
    <row r="496" s="198" customFormat="1" x14ac:dyDescent="0.25"/>
    <row r="497" s="198" customFormat="1" x14ac:dyDescent="0.25"/>
    <row r="498" s="198" customFormat="1" x14ac:dyDescent="0.25"/>
    <row r="499" s="198" customFormat="1" x14ac:dyDescent="0.25"/>
    <row r="500" s="198" customFormat="1" x14ac:dyDescent="0.25"/>
    <row r="501" s="198" customFormat="1" x14ac:dyDescent="0.25"/>
    <row r="502" s="198" customFormat="1" x14ac:dyDescent="0.25"/>
    <row r="503" s="198" customFormat="1" x14ac:dyDescent="0.25"/>
    <row r="504" s="198" customFormat="1" x14ac:dyDescent="0.25"/>
    <row r="505" s="198" customFormat="1" x14ac:dyDescent="0.25"/>
    <row r="506" s="198" customFormat="1" x14ac:dyDescent="0.25"/>
    <row r="507" s="198" customFormat="1" x14ac:dyDescent="0.25"/>
    <row r="508" s="198" customFormat="1" x14ac:dyDescent="0.25"/>
    <row r="509" s="198" customFormat="1" x14ac:dyDescent="0.25"/>
    <row r="510" s="198" customFormat="1" x14ac:dyDescent="0.25"/>
    <row r="511" s="198" customFormat="1" x14ac:dyDescent="0.25"/>
    <row r="512" s="198" customFormat="1" x14ac:dyDescent="0.25"/>
    <row r="513" s="198" customFormat="1" x14ac:dyDescent="0.25"/>
    <row r="514" s="198" customFormat="1" x14ac:dyDescent="0.25"/>
    <row r="515" s="198" customFormat="1" x14ac:dyDescent="0.25"/>
    <row r="516" s="198" customFormat="1" x14ac:dyDescent="0.25"/>
    <row r="517" s="198" customFormat="1" x14ac:dyDescent="0.25"/>
    <row r="518" s="198" customFormat="1" x14ac:dyDescent="0.25"/>
    <row r="519" s="198" customFormat="1" x14ac:dyDescent="0.25"/>
    <row r="520" s="198" customFormat="1" x14ac:dyDescent="0.25"/>
    <row r="521" s="198" customFormat="1" x14ac:dyDescent="0.25"/>
    <row r="522" s="198" customFormat="1" x14ac:dyDescent="0.25"/>
    <row r="523" s="198" customFormat="1" x14ac:dyDescent="0.25"/>
    <row r="524" s="198" customFormat="1" x14ac:dyDescent="0.25"/>
    <row r="525" s="198" customFormat="1" x14ac:dyDescent="0.25"/>
    <row r="526" s="198" customFormat="1" x14ac:dyDescent="0.25"/>
    <row r="527" s="198" customFormat="1" x14ac:dyDescent="0.25"/>
    <row r="528" s="198" customFormat="1" x14ac:dyDescent="0.25"/>
    <row r="529" s="198" customFormat="1" x14ac:dyDescent="0.25"/>
    <row r="530" s="198" customFormat="1" x14ac:dyDescent="0.25"/>
    <row r="531" s="198" customFormat="1" x14ac:dyDescent="0.25"/>
    <row r="532" s="198" customFormat="1" x14ac:dyDescent="0.25"/>
    <row r="533" s="198" customFormat="1" x14ac:dyDescent="0.25"/>
    <row r="534" s="198" customFormat="1" x14ac:dyDescent="0.25"/>
    <row r="535" s="198" customFormat="1" x14ac:dyDescent="0.25"/>
    <row r="536" s="198" customFormat="1" x14ac:dyDescent="0.25"/>
    <row r="537" s="198" customFormat="1" x14ac:dyDescent="0.25"/>
    <row r="538" s="198" customFormat="1" x14ac:dyDescent="0.25"/>
    <row r="539" s="198" customFormat="1" x14ac:dyDescent="0.25"/>
    <row r="540" s="198" customFormat="1" x14ac:dyDescent="0.25"/>
    <row r="541" s="198" customFormat="1" x14ac:dyDescent="0.25"/>
    <row r="542" s="198" customFormat="1" x14ac:dyDescent="0.25"/>
    <row r="543" s="198" customFormat="1" x14ac:dyDescent="0.25"/>
    <row r="544" s="198" customFormat="1" x14ac:dyDescent="0.25"/>
    <row r="545" s="198" customFormat="1" x14ac:dyDescent="0.25"/>
    <row r="546" s="198" customFormat="1" x14ac:dyDescent="0.25"/>
    <row r="547" s="198" customFormat="1" x14ac:dyDescent="0.25"/>
    <row r="548" s="198" customFormat="1" x14ac:dyDescent="0.25"/>
    <row r="549" s="198" customFormat="1" x14ac:dyDescent="0.25"/>
    <row r="550" s="198" customFormat="1" x14ac:dyDescent="0.25"/>
    <row r="551" s="198" customFormat="1" x14ac:dyDescent="0.25"/>
    <row r="552" s="198" customFormat="1" x14ac:dyDescent="0.25"/>
    <row r="553" s="198" customFormat="1" x14ac:dyDescent="0.25"/>
    <row r="554" s="198" customFormat="1" x14ac:dyDescent="0.25"/>
    <row r="555" s="198" customFormat="1" x14ac:dyDescent="0.25"/>
    <row r="556" s="198" customFormat="1" x14ac:dyDescent="0.25"/>
    <row r="557" s="198" customFormat="1" x14ac:dyDescent="0.25"/>
    <row r="558" s="198" customFormat="1" x14ac:dyDescent="0.25"/>
    <row r="559" s="198" customFormat="1" x14ac:dyDescent="0.25"/>
    <row r="560" s="198" customFormat="1" x14ac:dyDescent="0.25"/>
    <row r="561" s="198" customFormat="1" x14ac:dyDescent="0.25"/>
    <row r="562" s="198" customFormat="1" x14ac:dyDescent="0.25"/>
    <row r="563" s="198" customFormat="1" x14ac:dyDescent="0.25"/>
    <row r="564" s="198" customFormat="1" x14ac:dyDescent="0.25"/>
    <row r="565" s="198" customFormat="1" x14ac:dyDescent="0.25"/>
    <row r="566" s="198" customFormat="1" x14ac:dyDescent="0.25"/>
    <row r="567" s="198" customFormat="1" x14ac:dyDescent="0.25"/>
    <row r="568" s="198" customFormat="1" x14ac:dyDescent="0.25"/>
    <row r="569" s="198" customFormat="1" x14ac:dyDescent="0.25"/>
    <row r="570" s="198" customFormat="1" x14ac:dyDescent="0.25"/>
    <row r="571" s="198" customFormat="1" x14ac:dyDescent="0.25"/>
    <row r="572" s="198" customFormat="1" x14ac:dyDescent="0.25"/>
    <row r="573" s="198" customFormat="1" x14ac:dyDescent="0.25"/>
    <row r="574" s="198" customFormat="1" x14ac:dyDescent="0.25"/>
    <row r="575" s="198" customFormat="1" x14ac:dyDescent="0.25"/>
    <row r="576" s="198" customFormat="1" x14ac:dyDescent="0.25"/>
    <row r="577" s="198" customFormat="1" x14ac:dyDescent="0.25"/>
    <row r="578" s="198" customFormat="1" x14ac:dyDescent="0.25"/>
    <row r="579" s="198" customFormat="1" x14ac:dyDescent="0.25"/>
    <row r="580" s="198" customFormat="1" x14ac:dyDescent="0.25"/>
    <row r="581" s="198" customFormat="1" x14ac:dyDescent="0.25"/>
    <row r="582" s="198" customFormat="1" x14ac:dyDescent="0.25"/>
    <row r="583" s="198" customFormat="1" x14ac:dyDescent="0.25"/>
    <row r="584" s="198" customFormat="1" x14ac:dyDescent="0.25"/>
    <row r="585" s="198" customFormat="1" x14ac:dyDescent="0.25"/>
    <row r="586" s="198" customFormat="1" x14ac:dyDescent="0.25"/>
    <row r="587" s="198" customFormat="1" x14ac:dyDescent="0.25"/>
    <row r="588" s="198" customFormat="1" x14ac:dyDescent="0.25"/>
    <row r="589" s="198" customFormat="1" x14ac:dyDescent="0.25"/>
    <row r="590" s="198" customFormat="1" x14ac:dyDescent="0.25"/>
    <row r="591" s="198" customFormat="1" x14ac:dyDescent="0.25"/>
    <row r="592" s="198" customFormat="1" x14ac:dyDescent="0.25"/>
    <row r="593" s="198" customFormat="1" x14ac:dyDescent="0.25"/>
    <row r="594" s="198" customFormat="1" x14ac:dyDescent="0.25"/>
    <row r="595" s="198" customFormat="1" x14ac:dyDescent="0.25"/>
    <row r="596" s="198" customFormat="1" x14ac:dyDescent="0.25"/>
    <row r="597" s="198" customFormat="1" x14ac:dyDescent="0.25"/>
    <row r="598" s="198" customFormat="1" x14ac:dyDescent="0.25"/>
    <row r="599" s="198" customFormat="1" x14ac:dyDescent="0.25"/>
    <row r="600" s="198" customFormat="1" x14ac:dyDescent="0.25"/>
    <row r="601" s="198" customFormat="1" x14ac:dyDescent="0.25"/>
    <row r="602" s="198" customFormat="1" x14ac:dyDescent="0.25"/>
  </sheetData>
  <sheetProtection algorithmName="SHA-512" hashValue="LFJSM+vnZrzwPEjB9QiN6MpIpdY7g8SQc+lLyYl3ktMVgzKQ3+wti3e91Fmhgu2+iqGzeiVNegOtSjrdVQA/Hw==" saltValue="Ks9sOokg2PfoIW0Ka6rQEg==" spinCount="100000" sheet="1" objects="1" scenarios="1"/>
  <mergeCells count="43">
    <mergeCell ref="F147:G147"/>
    <mergeCell ref="Q147:S147"/>
    <mergeCell ref="F148:G148"/>
    <mergeCell ref="Q148:S148"/>
    <mergeCell ref="R152:S152"/>
    <mergeCell ref="F149:G149"/>
    <mergeCell ref="R149:S149"/>
    <mergeCell ref="F150:G150"/>
    <mergeCell ref="Q150:S150"/>
    <mergeCell ref="Q151:S151"/>
    <mergeCell ref="C139:D139"/>
    <mergeCell ref="C103:D103"/>
    <mergeCell ref="C107:D107"/>
    <mergeCell ref="C122:D122"/>
    <mergeCell ref="C126:D126"/>
    <mergeCell ref="C109:D109"/>
    <mergeCell ref="C124:D124"/>
    <mergeCell ref="C112:D112"/>
    <mergeCell ref="C119:D119"/>
    <mergeCell ref="C120:D120"/>
    <mergeCell ref="C123:D123"/>
    <mergeCell ref="C104:D104"/>
    <mergeCell ref="C108:D108"/>
    <mergeCell ref="C138:D138"/>
    <mergeCell ref="C128:D128"/>
    <mergeCell ref="C52:D52"/>
    <mergeCell ref="C53:D53"/>
    <mergeCell ref="C54:D54"/>
    <mergeCell ref="C55:D55"/>
    <mergeCell ref="D30:E30"/>
    <mergeCell ref="C23:E23"/>
    <mergeCell ref="B2:J4"/>
    <mergeCell ref="C20:E20"/>
    <mergeCell ref="C21:E21"/>
    <mergeCell ref="C22:E22"/>
    <mergeCell ref="G18:J18"/>
    <mergeCell ref="C24:E24"/>
    <mergeCell ref="C32:D32"/>
    <mergeCell ref="C33:D33"/>
    <mergeCell ref="D26:E26"/>
    <mergeCell ref="D27:E27"/>
    <mergeCell ref="D28:E28"/>
    <mergeCell ref="D29:E29"/>
  </mergeCells>
  <conditionalFormatting sqref="E66">
    <cfRule type="expression" dxfId="4" priority="32">
      <formula>$A$68=0</formula>
    </cfRule>
  </conditionalFormatting>
  <conditionalFormatting sqref="E67">
    <cfRule type="expression" dxfId="3" priority="31">
      <formula>$A$69=0</formula>
    </cfRule>
  </conditionalFormatting>
  <conditionalFormatting sqref="E65:E67">
    <cfRule type="expression" dxfId="2" priority="35">
      <formula>#REF!="Rent to Buy"</formula>
    </cfRule>
  </conditionalFormatting>
  <conditionalFormatting sqref="E65">
    <cfRule type="expression" dxfId="1" priority="36">
      <formula>$A$67=0</formula>
    </cfRule>
    <cfRule type="expression" priority="37">
      <formula>#REF!="Codes!$B$4"</formula>
    </cfRule>
  </conditionalFormatting>
  <conditionalFormatting sqref="F112:F113 E116 E118 E122:E124 G113:T114 F114:T119 E120:T120 F121:T124 E125:T127 F103:T104 E105:T105 F106:T110 E103:E110 E131:T136">
    <cfRule type="expression" priority="17">
      <formula>"if($D$81:$R$811&gt;100%, [Green],[Red]"</formula>
    </cfRule>
  </conditionalFormatting>
  <conditionalFormatting sqref="R102:T104">
    <cfRule type="expression" priority="16">
      <formula>"if($P$81&lt;99%, green, red)"</formula>
    </cfRule>
  </conditionalFormatting>
  <conditionalFormatting sqref="E131:T131">
    <cfRule type="iconSet" priority="14">
      <iconSet reverse="1">
        <cfvo type="percent" val="0"/>
        <cfvo type="num" val="0.7"/>
        <cfvo type="num" val="0.8"/>
      </iconSet>
    </cfRule>
  </conditionalFormatting>
  <conditionalFormatting sqref="R119:T119">
    <cfRule type="expression" priority="13">
      <formula>"if($P$81&lt;99%, green, red)"</formula>
    </cfRule>
  </conditionalFormatting>
  <conditionalFormatting sqref="F111:T111 G112:T112">
    <cfRule type="expression" priority="12">
      <formula>"if($D$81:$R$811&gt;100%, [Green],[Red]"</formula>
    </cfRule>
  </conditionalFormatting>
  <conditionalFormatting sqref="R111:T111">
    <cfRule type="expression" priority="11">
      <formula>"if($P$81&lt;99%, green, red)"</formula>
    </cfRule>
  </conditionalFormatting>
  <conditionalFormatting sqref="E141:T141">
    <cfRule type="expression" priority="10">
      <formula>"if($D$81:$R$811&gt;100%, [Green],[Red]"</formula>
    </cfRule>
  </conditionalFormatting>
  <conditionalFormatting sqref="E142:T142">
    <cfRule type="expression" priority="9">
      <formula>"if($D$81:$R$811&gt;100%, [Green],[Red]"</formula>
    </cfRule>
  </conditionalFormatting>
  <conditionalFormatting sqref="E143:T144">
    <cfRule type="expression" priority="8">
      <formula>"if($D$81:$R$811&gt;100%, [Green],[Red]"</formula>
    </cfRule>
  </conditionalFormatting>
  <conditionalFormatting sqref="E144:T144">
    <cfRule type="iconSet" priority="7">
      <iconSet reverse="1">
        <cfvo type="percent" val="0"/>
        <cfvo type="num" val="0.30499999999999999" gte="0"/>
        <cfvo type="num" val="0.35"/>
      </iconSet>
    </cfRule>
  </conditionalFormatting>
  <conditionalFormatting sqref="E143:T143">
    <cfRule type="iconSet" priority="6">
      <iconSet reverse="1">
        <cfvo type="percent" val="0"/>
        <cfvo type="num" val="0.70499999999999996"/>
        <cfvo type="num" val="0.8"/>
      </iconSet>
    </cfRule>
  </conditionalFormatting>
  <conditionalFormatting sqref="E112:E115 E121 E117">
    <cfRule type="expression" priority="5">
      <formula>"if($D$81:$R$811&gt;100%, [Green],[Red]"</formula>
    </cfRule>
  </conditionalFormatting>
  <conditionalFormatting sqref="E119:E120">
    <cfRule type="expression" priority="4">
      <formula>"if($D$81:$R$811&gt;100%, [Green],[Red]"</formula>
    </cfRule>
  </conditionalFormatting>
  <conditionalFormatting sqref="E111">
    <cfRule type="expression" priority="3">
      <formula>"if($D$81:$R$811&gt;100%, [Green],[Red]"</formula>
    </cfRule>
  </conditionalFormatting>
  <conditionalFormatting sqref="R138:T138">
    <cfRule type="expression" priority="2">
      <formula>"if($P$81&lt;99%, green, red)"</formula>
    </cfRule>
  </conditionalFormatting>
  <conditionalFormatting sqref="E140:T140">
    <cfRule type="expression" priority="1">
      <formula>"if($D$81:$R$811&gt;100%, [Green],[Red]"</formula>
    </cfRule>
  </conditionalFormatting>
  <conditionalFormatting sqref="E132:T136">
    <cfRule type="iconSet" priority="44">
      <iconSet reverse="1">
        <cfvo type="percent" val="0"/>
        <cfvo type="num" val="0.3" gte="0"/>
        <cfvo type="num" val="0.35"/>
      </iconSet>
    </cfRule>
  </conditionalFormatting>
  <pageMargins left="0.7" right="0.7" top="0.75" bottom="0.75" header="0.3" footer="0.3"/>
  <pageSetup paperSize="9" orientation="portrait" r:id="rId1"/>
  <ignoredErrors>
    <ignoredError sqref="F33 F114:T114" formula="1"/>
  </ignoredErrors>
  <drawing r:id="rId2"/>
  <extLst>
    <ext xmlns:x14="http://schemas.microsoft.com/office/spreadsheetml/2009/9/main" uri="{78C0D931-6437-407d-A8EE-F0AAD7539E65}">
      <x14:conditionalFormattings>
        <x14:conditionalFormatting xmlns:xm="http://schemas.microsoft.com/office/excel/2006/main">
          <x14:cfRule type="iconSet" priority="26" id="{9E562F1A-3DDE-4E39-9BFB-4CFAA794C981}">
            <x14:iconSet showValue="0" custom="1">
              <x14:cfvo type="percent">
                <xm:f>0</xm:f>
              </x14:cfvo>
              <x14:cfvo type="num">
                <xm:f>1</xm:f>
              </x14:cfvo>
              <x14:cfvo type="num">
                <xm:f>2</xm:f>
              </x14:cfvo>
              <x14:cfIcon iconSet="3TrafficLights1" iconId="2"/>
              <x14:cfIcon iconSet="3TrafficLights1" iconId="1"/>
              <x14:cfIcon iconSet="3TrafficLights1" iconId="0"/>
            </x14:iconSet>
          </x14:cfRule>
          <xm:sqref>D58:D73</xm:sqref>
        </x14:conditionalFormatting>
        <x14:conditionalFormatting xmlns:xm="http://schemas.microsoft.com/office/excel/2006/main">
          <x14:cfRule type="expression" priority="38" id="{2AE97B65-318D-493D-BAE8-AEF31F186420}">
            <xm:f>#REF!=Codes!$H$5</xm:f>
            <x14:dxf>
              <fill>
                <patternFill>
                  <bgColor theme="0"/>
                </patternFill>
              </fill>
            </x14:dxf>
          </x14:cfRule>
          <xm:sqref>E65</xm:sqref>
        </x14:conditionalFormatting>
        <x14:conditionalFormatting xmlns:xm="http://schemas.microsoft.com/office/excel/2006/main">
          <x14:cfRule type="iconSet" priority="21" id="{DCC61DCD-8C4F-4698-BECB-A3B1F36E0A5C}">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F32:F33</xm:sqref>
        </x14:conditionalFormatting>
        <x14:conditionalFormatting xmlns:xm="http://schemas.microsoft.com/office/excel/2006/main">
          <x14:cfRule type="iconSet" priority="20" id="{5A6F826F-371E-46A5-A743-70753010F2D3}">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F34</xm:sqref>
        </x14:conditionalFormatting>
        <x14:conditionalFormatting xmlns:xm="http://schemas.microsoft.com/office/excel/2006/main">
          <x14:cfRule type="iconSet" priority="18" id="{A79A8706-EC7D-4E61-B376-F63C968C2E29}">
            <x14:iconSet custom="1">
              <x14:cfvo type="percent">
                <xm:f>0</xm:f>
              </x14:cfvo>
              <x14:cfvo type="num">
                <xm:f>0</xm:f>
              </x14:cfvo>
              <x14:cfvo type="num">
                <xm:f>1</xm:f>
              </x14:cfvo>
              <x14:cfIcon iconSet="3TrafficLights1" iconId="0"/>
              <x14:cfIcon iconSet="3TrafficLights1" iconId="0"/>
              <x14:cfIcon iconSet="3TrafficLights1" iconId="2"/>
            </x14:iconSet>
          </x14:cfRule>
          <xm:sqref>I63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5A8BFD46-11B7-4D9C-8A0D-671DF9584A6D}">
          <x14:formula1>
            <xm:f>Codes!$C$2:$C$7</xm:f>
          </x14:formula1>
          <xm:sqref>C24:D24</xm:sqref>
        </x14:dataValidation>
        <x14:dataValidation type="list" allowBlank="1" showInputMessage="1" showErrorMessage="1" xr:uid="{0DA70BCB-7F29-4B07-866F-3EED66342F35}">
          <x14:formula1>
            <xm:f>Codes!$B$2:$B$7</xm:f>
          </x14:formula1>
          <xm:sqref>C23:D23</xm:sqref>
        </x14:dataValidation>
        <x14:dataValidation type="list" allowBlank="1" showInputMessage="1" showErrorMessage="1" xr:uid="{C1B59608-C840-41B5-9550-7F9A36502169}">
          <x14:formula1>
            <xm:f>Codes!$F$2:$F$3</xm:f>
          </x14:formula1>
          <xm:sqref>E32:E33</xm:sqref>
        </x14:dataValidation>
        <x14:dataValidation type="list" allowBlank="1" showInputMessage="1" showErrorMessage="1" xr:uid="{1C25FAF8-C4E0-46CA-BCF2-E11542FE3081}">
          <x14:formula1>
            <xm:f>Codes!$J$1:$J$6</xm:f>
          </x14:formula1>
          <xm:sqref>D27:E30</xm:sqref>
        </x14:dataValidation>
        <x14:dataValidation type="list" allowBlank="1" showInputMessage="1" showErrorMessage="1" xr:uid="{0AEF9C26-2A5F-48AE-885A-4888F54FBC30}">
          <x14:formula1>
            <xm:f>Codes!$H$2:$H$3</xm:f>
          </x14:formula1>
          <xm:sqref>E38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378F-0D1F-45F2-AA25-9D3D1CFA6EDE}">
  <sheetPr>
    <tabColor theme="9"/>
  </sheetPr>
  <dimension ref="A1:EA1196"/>
  <sheetViews>
    <sheetView topLeftCell="A10" zoomScale="70" zoomScaleNormal="70" workbookViewId="0">
      <selection activeCell="J24" sqref="J24"/>
    </sheetView>
  </sheetViews>
  <sheetFormatPr defaultRowHeight="15" x14ac:dyDescent="0.25"/>
  <cols>
    <col min="2" max="2" width="56.5703125" customWidth="1"/>
    <col min="3" max="3" width="58.7109375" customWidth="1"/>
    <col min="4" max="4" width="18.7109375" customWidth="1"/>
    <col min="5" max="5" width="17.42578125" customWidth="1"/>
    <col min="6" max="6" width="47.28515625" style="1" customWidth="1"/>
    <col min="7" max="7" width="44.7109375" style="1" customWidth="1"/>
    <col min="8" max="8" width="26.7109375" style="1" customWidth="1"/>
    <col min="9" max="9" width="12.42578125" style="1" bestFit="1" customWidth="1"/>
    <col min="10" max="10" width="10.28515625" style="1" bestFit="1" customWidth="1"/>
    <col min="11" max="11" width="11.28515625" style="1" bestFit="1" customWidth="1"/>
    <col min="12" max="12" width="13.28515625" style="1" bestFit="1" customWidth="1"/>
    <col min="13" max="15" width="9.140625" style="1"/>
    <col min="16" max="16" width="13.28515625" style="1" bestFit="1" customWidth="1"/>
    <col min="17" max="17" width="10.5703125" style="1" bestFit="1" customWidth="1"/>
    <col min="18" max="131" width="9.140625" style="1"/>
  </cols>
  <sheetData>
    <row r="1" spans="1:8" x14ac:dyDescent="0.25">
      <c r="A1" s="1"/>
      <c r="B1" s="1"/>
      <c r="C1" s="1"/>
      <c r="D1" s="1"/>
      <c r="E1" s="1"/>
    </row>
    <row r="2" spans="1:8" s="1" customFormat="1" ht="21" customHeight="1" x14ac:dyDescent="0.25">
      <c r="B2" s="794" t="s">
        <v>383</v>
      </c>
      <c r="C2" s="794"/>
      <c r="D2" s="794"/>
      <c r="E2" s="794"/>
      <c r="F2" s="794"/>
      <c r="G2" s="794"/>
      <c r="H2" s="794"/>
    </row>
    <row r="3" spans="1:8" s="1" customFormat="1" ht="21" customHeight="1" x14ac:dyDescent="0.25">
      <c r="B3" s="794"/>
      <c r="C3" s="794"/>
      <c r="D3" s="794"/>
      <c r="E3" s="794"/>
      <c r="F3" s="794"/>
      <c r="G3" s="794"/>
      <c r="H3" s="794"/>
    </row>
    <row r="4" spans="1:8" s="1" customFormat="1" x14ac:dyDescent="0.25">
      <c r="B4" s="163"/>
      <c r="C4" s="13"/>
    </row>
    <row r="5" spans="1:8" s="1" customFormat="1" x14ac:dyDescent="0.25">
      <c r="B5" s="218"/>
      <c r="C5" s="164"/>
      <c r="D5" s="5"/>
      <c r="E5" s="5"/>
      <c r="F5" s="5"/>
      <c r="G5" s="5"/>
      <c r="H5" s="6"/>
    </row>
    <row r="6" spans="1:8" s="1" customFormat="1" x14ac:dyDescent="0.25">
      <c r="B6" s="277" t="s">
        <v>97</v>
      </c>
      <c r="C6" s="219"/>
      <c r="D6" s="219"/>
      <c r="E6" s="219"/>
      <c r="F6" s="156"/>
      <c r="G6" s="156"/>
      <c r="H6" s="3"/>
    </row>
    <row r="7" spans="1:8" s="1" customFormat="1" x14ac:dyDescent="0.25">
      <c r="B7" s="222"/>
      <c r="C7" s="219"/>
      <c r="D7" s="219"/>
      <c r="E7" s="219"/>
      <c r="F7" s="156"/>
      <c r="G7" s="156"/>
      <c r="H7" s="3"/>
    </row>
    <row r="8" spans="1:8" s="1" customFormat="1" x14ac:dyDescent="0.25">
      <c r="B8" s="221" t="s">
        <v>473</v>
      </c>
      <c r="C8" s="219"/>
      <c r="D8" s="219"/>
      <c r="E8" s="219"/>
      <c r="F8" s="156"/>
      <c r="G8" s="156"/>
      <c r="H8" s="3"/>
    </row>
    <row r="9" spans="1:8" s="1" customFormat="1" x14ac:dyDescent="0.25">
      <c r="B9" s="221" t="s">
        <v>480</v>
      </c>
      <c r="C9" s="219"/>
      <c r="D9" s="219"/>
      <c r="E9" s="219"/>
      <c r="F9" s="156"/>
      <c r="G9" s="156"/>
      <c r="H9" s="3"/>
    </row>
    <row r="10" spans="1:8" s="1" customFormat="1" x14ac:dyDescent="0.25">
      <c r="B10" s="221" t="s">
        <v>467</v>
      </c>
      <c r="C10" s="219"/>
      <c r="D10" s="219"/>
      <c r="E10" s="219"/>
      <c r="F10" s="156"/>
      <c r="G10" s="156"/>
      <c r="H10" s="3"/>
    </row>
    <row r="11" spans="1:8" s="1" customFormat="1" x14ac:dyDescent="0.25">
      <c r="B11" s="600"/>
      <c r="C11" s="220"/>
      <c r="D11" s="220"/>
      <c r="E11" s="220"/>
      <c r="F11" s="12"/>
      <c r="G11" s="12"/>
      <c r="H11" s="16"/>
    </row>
    <row r="12" spans="1:8" s="1" customFormat="1" x14ac:dyDescent="0.25">
      <c r="B12" s="166"/>
      <c r="C12" s="166"/>
      <c r="D12" s="166"/>
      <c r="E12" s="166"/>
    </row>
    <row r="13" spans="1:8" s="1" customFormat="1" x14ac:dyDescent="0.25">
      <c r="B13" s="175" t="s">
        <v>276</v>
      </c>
      <c r="C13" s="166"/>
      <c r="D13" s="166"/>
      <c r="E13" s="166"/>
    </row>
    <row r="14" spans="1:8" s="1" customFormat="1" x14ac:dyDescent="0.25">
      <c r="B14" s="175"/>
      <c r="C14" s="166"/>
      <c r="D14" s="166"/>
      <c r="E14" s="166"/>
    </row>
    <row r="15" spans="1:8" s="1" customFormat="1" x14ac:dyDescent="0.25">
      <c r="B15" s="15" t="s">
        <v>387</v>
      </c>
      <c r="C15" s="166"/>
      <c r="D15" s="566" t="s">
        <v>388</v>
      </c>
      <c r="E15" s="166"/>
    </row>
    <row r="16" spans="1:8" s="1" customFormat="1" x14ac:dyDescent="0.25">
      <c r="C16" s="167"/>
      <c r="D16" s="167"/>
      <c r="E16" s="167"/>
    </row>
    <row r="17" spans="2:17" s="1" customFormat="1" x14ac:dyDescent="0.25">
      <c r="B17" s="172" t="s">
        <v>21</v>
      </c>
      <c r="C17" s="167"/>
      <c r="D17" s="167"/>
      <c r="E17" s="167"/>
      <c r="F17" s="163" t="s">
        <v>440</v>
      </c>
    </row>
    <row r="18" spans="2:17" s="1" customFormat="1" x14ac:dyDescent="0.25">
      <c r="B18" s="173" t="s">
        <v>413</v>
      </c>
      <c r="D18" s="541">
        <v>1000000</v>
      </c>
      <c r="E18" s="45"/>
    </row>
    <row r="19" spans="2:17" s="1" customFormat="1" ht="15.75" x14ac:dyDescent="0.25">
      <c r="B19" s="173" t="s">
        <v>414</v>
      </c>
      <c r="D19" s="541">
        <v>5000</v>
      </c>
      <c r="E19" s="45"/>
      <c r="F19" s="795" t="s">
        <v>19</v>
      </c>
      <c r="G19" s="796"/>
      <c r="H19" s="797"/>
    </row>
    <row r="20" spans="2:17" s="1" customFormat="1" x14ac:dyDescent="0.25">
      <c r="B20" s="173"/>
      <c r="D20" s="174"/>
      <c r="E20" s="174"/>
      <c r="F20" s="597" t="s">
        <v>32</v>
      </c>
      <c r="G20" s="598"/>
      <c r="H20" s="599"/>
      <c r="J20" s="176"/>
    </row>
    <row r="21" spans="2:17" s="1" customFormat="1" x14ac:dyDescent="0.25">
      <c r="B21" s="173" t="s">
        <v>415</v>
      </c>
      <c r="D21" s="542">
        <v>12</v>
      </c>
      <c r="E21" s="174"/>
      <c r="F21" s="4" t="s">
        <v>439</v>
      </c>
      <c r="G21" s="184">
        <f>D23*D21</f>
        <v>8400000</v>
      </c>
      <c r="H21" s="171"/>
      <c r="P21" s="177"/>
    </row>
    <row r="22" spans="2:17" s="1" customFormat="1" x14ac:dyDescent="0.25">
      <c r="B22" s="173" t="s">
        <v>416</v>
      </c>
      <c r="D22" s="542">
        <v>120</v>
      </c>
      <c r="E22" s="174"/>
      <c r="F22" s="106" t="s">
        <v>33</v>
      </c>
      <c r="G22" s="584">
        <f>G21-(G21/1.15)</f>
        <v>1095652.173913043</v>
      </c>
      <c r="H22" s="3"/>
      <c r="J22" s="46"/>
      <c r="P22" s="177"/>
    </row>
    <row r="23" spans="2:17" s="1" customFormat="1" x14ac:dyDescent="0.25">
      <c r="B23" s="173" t="s">
        <v>451</v>
      </c>
      <c r="D23" s="543">
        <v>700000</v>
      </c>
      <c r="F23" s="106" t="s">
        <v>34</v>
      </c>
      <c r="G23" s="399">
        <f>D21*D25</f>
        <v>18000</v>
      </c>
      <c r="H23" s="3"/>
      <c r="P23" s="177"/>
    </row>
    <row r="24" spans="2:17" s="1" customFormat="1" x14ac:dyDescent="0.25">
      <c r="B24" s="173" t="s">
        <v>452</v>
      </c>
      <c r="D24" s="543">
        <v>700000</v>
      </c>
      <c r="F24" s="58" t="s">
        <v>35</v>
      </c>
      <c r="G24" s="12"/>
      <c r="H24" s="585">
        <f>G21-G22-G23</f>
        <v>7286347.826086957</v>
      </c>
      <c r="P24" s="177"/>
      <c r="Q24" s="178"/>
    </row>
    <row r="25" spans="2:17" s="1" customFormat="1" x14ac:dyDescent="0.25">
      <c r="B25" s="173" t="s">
        <v>453</v>
      </c>
      <c r="D25" s="543">
        <v>1500</v>
      </c>
      <c r="E25" s="45"/>
      <c r="F25" s="597" t="s">
        <v>20</v>
      </c>
      <c r="G25" s="598"/>
      <c r="H25" s="599"/>
      <c r="P25" s="177"/>
    </row>
    <row r="26" spans="2:17" s="1" customFormat="1" x14ac:dyDescent="0.25">
      <c r="E26" s="310"/>
      <c r="F26" s="69" t="s">
        <v>22</v>
      </c>
      <c r="G26" s="164"/>
      <c r="H26" s="165"/>
      <c r="P26" s="177"/>
      <c r="Q26" s="178"/>
    </row>
    <row r="27" spans="2:17" s="1" customFormat="1" x14ac:dyDescent="0.25">
      <c r="B27" s="173" t="s">
        <v>454</v>
      </c>
      <c r="D27" s="541">
        <v>2500</v>
      </c>
      <c r="E27" s="310"/>
      <c r="F27" s="2" t="s">
        <v>23</v>
      </c>
      <c r="G27" s="157">
        <f>$D$18</f>
        <v>1000000</v>
      </c>
      <c r="H27" s="3"/>
      <c r="P27" s="177"/>
    </row>
    <row r="28" spans="2:17" s="1" customFormat="1" x14ac:dyDescent="0.25">
      <c r="B28" s="173" t="s">
        <v>455</v>
      </c>
      <c r="D28" s="541">
        <v>300000</v>
      </c>
      <c r="E28" s="45"/>
      <c r="F28" s="2" t="s">
        <v>24</v>
      </c>
      <c r="G28" s="157">
        <f>$D$19</f>
        <v>5000</v>
      </c>
      <c r="H28" s="3"/>
      <c r="M28" s="13"/>
      <c r="P28" s="177"/>
    </row>
    <row r="29" spans="2:17" s="1" customFormat="1" x14ac:dyDescent="0.25">
      <c r="B29" s="173" t="s">
        <v>456</v>
      </c>
      <c r="C29"/>
      <c r="D29" s="541">
        <v>15000</v>
      </c>
      <c r="E29" s="45"/>
      <c r="F29" s="67" t="s">
        <v>25</v>
      </c>
      <c r="G29" s="161"/>
      <c r="H29" s="105">
        <f>G27+G28</f>
        <v>1005000</v>
      </c>
      <c r="J29" s="46"/>
      <c r="P29" s="180"/>
    </row>
    <row r="30" spans="2:17" s="1" customFormat="1" x14ac:dyDescent="0.25">
      <c r="B30" s="173" t="s">
        <v>457</v>
      </c>
      <c r="D30" s="544">
        <v>0.1</v>
      </c>
      <c r="E30" s="45"/>
      <c r="F30" s="2"/>
      <c r="G30" s="156"/>
      <c r="H30" s="3"/>
      <c r="J30" s="181"/>
      <c r="L30" s="13"/>
      <c r="M30" s="13"/>
      <c r="N30" s="13"/>
      <c r="O30" s="13"/>
      <c r="P30" s="182"/>
    </row>
    <row r="31" spans="2:17" s="1" customFormat="1" x14ac:dyDescent="0.25">
      <c r="B31" s="173" t="s">
        <v>458</v>
      </c>
      <c r="D31" s="544">
        <v>0.15</v>
      </c>
      <c r="E31" s="310"/>
      <c r="F31" s="67" t="s">
        <v>27</v>
      </c>
      <c r="G31" s="161"/>
      <c r="H31" s="20"/>
      <c r="P31" s="177"/>
      <c r="Q31" s="183"/>
    </row>
    <row r="32" spans="2:17" s="1" customFormat="1" ht="17.25" x14ac:dyDescent="0.4">
      <c r="B32" s="173" t="s">
        <v>475</v>
      </c>
      <c r="D32" s="544">
        <v>7.0000000000000007E-2</v>
      </c>
      <c r="E32" s="310"/>
      <c r="F32" s="106" t="s">
        <v>28</v>
      </c>
      <c r="G32" s="157">
        <f>D28+(D29*(D21-1))</f>
        <v>465000</v>
      </c>
      <c r="H32" s="3"/>
      <c r="P32" s="185"/>
    </row>
    <row r="33" spans="2:16" s="1" customFormat="1" x14ac:dyDescent="0.25">
      <c r="B33" s="173" t="s">
        <v>469</v>
      </c>
      <c r="D33" s="544">
        <v>7.0000000000000007E-2</v>
      </c>
      <c r="E33" s="45"/>
      <c r="F33" s="2" t="s">
        <v>29</v>
      </c>
      <c r="G33" s="157">
        <f>(H38+D28)*D30</f>
        <v>390000</v>
      </c>
      <c r="H33" s="20"/>
      <c r="P33" s="183"/>
    </row>
    <row r="34" spans="2:16" s="1" customFormat="1" ht="17.25" x14ac:dyDescent="0.4">
      <c r="F34" s="2" t="s">
        <v>30</v>
      </c>
      <c r="G34" s="157">
        <f>(D28+H38)*D31</f>
        <v>585000</v>
      </c>
      <c r="H34" s="20"/>
      <c r="J34" s="174"/>
      <c r="K34" s="174"/>
      <c r="M34" s="174"/>
      <c r="P34" s="185"/>
    </row>
    <row r="35" spans="2:16" s="1" customFormat="1" x14ac:dyDescent="0.25">
      <c r="B35" s="173" t="s">
        <v>459</v>
      </c>
      <c r="D35" s="542">
        <v>6</v>
      </c>
      <c r="E35" s="174"/>
      <c r="F35" s="2" t="s">
        <v>409</v>
      </c>
      <c r="G35" s="157">
        <f>(($G$27-D47)+$G$28)*SUM($D$35:$D$37)/12*D32</f>
        <v>123112.50000000001</v>
      </c>
      <c r="H35" s="3"/>
      <c r="L35" s="187"/>
      <c r="P35" s="177"/>
    </row>
    <row r="36" spans="2:16" s="1" customFormat="1" x14ac:dyDescent="0.25">
      <c r="B36" s="173" t="s">
        <v>460</v>
      </c>
      <c r="D36" s="542">
        <v>12</v>
      </c>
      <c r="E36" s="174"/>
      <c r="F36" s="2" t="s">
        <v>410</v>
      </c>
      <c r="G36" s="157">
        <f>(SUM($G$32:$G$34)+H38)*SUM($D$35:$D$37)/12*D32*0.5</f>
        <v>308700.00000000006</v>
      </c>
      <c r="H36" s="105">
        <f>SUM(G32:G36)</f>
        <v>1871812.5</v>
      </c>
      <c r="L36" s="354"/>
      <c r="P36" s="179"/>
    </row>
    <row r="37" spans="2:16" s="1" customFormat="1" x14ac:dyDescent="0.25">
      <c r="B37" s="173" t="s">
        <v>461</v>
      </c>
      <c r="D37" s="542">
        <v>3</v>
      </c>
      <c r="E37" s="174"/>
      <c r="F37" s="2"/>
      <c r="G37" s="156"/>
      <c r="H37" s="3"/>
      <c r="L37" s="156"/>
      <c r="P37" s="177"/>
    </row>
    <row r="38" spans="2:16" s="1" customFormat="1" ht="15.75" customHeight="1" x14ac:dyDescent="0.25">
      <c r="B38" s="13"/>
      <c r="F38" s="67" t="s">
        <v>297</v>
      </c>
      <c r="G38" s="156"/>
      <c r="H38" s="105">
        <f>D21*D22*D27</f>
        <v>3600000</v>
      </c>
    </row>
    <row r="39" spans="2:16" s="1" customFormat="1" x14ac:dyDescent="0.25">
      <c r="B39" s="173" t="s">
        <v>462</v>
      </c>
      <c r="D39" s="544">
        <v>0.05</v>
      </c>
      <c r="E39" s="42">
        <f>IF(D39&gt;=G41,0,1)</f>
        <v>1</v>
      </c>
      <c r="F39" s="2"/>
      <c r="G39" s="156"/>
      <c r="H39" s="3"/>
    </row>
    <row r="40" spans="2:16" s="1" customFormat="1" ht="15.75" thickBot="1" x14ac:dyDescent="0.3">
      <c r="B40" s="163"/>
      <c r="F40" s="58" t="s">
        <v>31</v>
      </c>
      <c r="G40" s="21"/>
      <c r="H40" s="22">
        <f>H36+H38+H29</f>
        <v>6476812.5</v>
      </c>
    </row>
    <row r="41" spans="2:16" s="1" customFormat="1" ht="15.75" thickBot="1" x14ac:dyDescent="0.3">
      <c r="B41" s="163" t="s">
        <v>37</v>
      </c>
      <c r="E41" s="310"/>
      <c r="F41" s="188" t="s">
        <v>36</v>
      </c>
      <c r="G41" s="426">
        <f>H41/(H40)</f>
        <v>0.12498977330082614</v>
      </c>
      <c r="H41" s="189">
        <f>H24-H40</f>
        <v>809535.32608695701</v>
      </c>
    </row>
    <row r="42" spans="2:16" s="1" customFormat="1" x14ac:dyDescent="0.25">
      <c r="B42" s="173" t="s">
        <v>476</v>
      </c>
      <c r="D42" s="607">
        <f>IF(D15=Codes!W1,((H40)/D21),D23)</f>
        <v>539734.375</v>
      </c>
    </row>
    <row r="43" spans="2:16" s="1" customFormat="1" ht="15" customHeight="1" x14ac:dyDescent="0.25">
      <c r="B43" s="173" t="s">
        <v>437</v>
      </c>
      <c r="D43" s="544">
        <v>0.5</v>
      </c>
      <c r="F43" s="163" t="s">
        <v>470</v>
      </c>
    </row>
    <row r="44" spans="2:16" s="1" customFormat="1" x14ac:dyDescent="0.25">
      <c r="B44" s="173" t="s">
        <v>438</v>
      </c>
      <c r="C44" s="170"/>
      <c r="D44" s="607">
        <f>D42*D43</f>
        <v>269867.1875</v>
      </c>
      <c r="J44" s="46"/>
    </row>
    <row r="45" spans="2:16" s="1" customFormat="1" x14ac:dyDescent="0.25">
      <c r="B45" s="173"/>
      <c r="E45" s="186"/>
      <c r="F45" s="161" t="s">
        <v>441</v>
      </c>
      <c r="G45" s="156"/>
      <c r="H45" s="156"/>
      <c r="J45" s="46"/>
    </row>
    <row r="46" spans="2:16" s="1" customFormat="1" x14ac:dyDescent="0.25">
      <c r="B46" s="173" t="s">
        <v>417</v>
      </c>
      <c r="E46" s="45"/>
      <c r="F46" s="156" t="s">
        <v>442</v>
      </c>
      <c r="G46" s="156"/>
      <c r="H46" s="584">
        <f>D44*D21</f>
        <v>3238406.25</v>
      </c>
      <c r="J46" s="190"/>
      <c r="L46" s="169"/>
    </row>
    <row r="47" spans="2:16" s="1" customFormat="1" ht="15.75" customHeight="1" x14ac:dyDescent="0.25">
      <c r="C47" s="195" t="s">
        <v>38</v>
      </c>
      <c r="D47" s="543">
        <v>0</v>
      </c>
      <c r="E47" s="45"/>
      <c r="F47" s="156" t="s">
        <v>443</v>
      </c>
      <c r="G47" s="156"/>
      <c r="H47" s="584">
        <f>D47</f>
        <v>0</v>
      </c>
    </row>
    <row r="48" spans="2:16" s="1" customFormat="1" ht="17.25" customHeight="1" x14ac:dyDescent="0.25">
      <c r="C48" s="545" t="s">
        <v>39</v>
      </c>
      <c r="D48" s="541">
        <v>200000</v>
      </c>
      <c r="E48" s="45"/>
      <c r="F48" s="12" t="s">
        <v>444</v>
      </c>
      <c r="G48" s="12"/>
      <c r="H48" s="586">
        <f>D48+D49+D50</f>
        <v>600000</v>
      </c>
    </row>
    <row r="49" spans="2:10" s="1" customFormat="1" x14ac:dyDescent="0.25">
      <c r="C49" s="545" t="s">
        <v>40</v>
      </c>
      <c r="D49" s="541">
        <v>200000</v>
      </c>
      <c r="E49" s="168"/>
      <c r="H49" s="45">
        <f>SUM(H46:H48)</f>
        <v>3838406.25</v>
      </c>
    </row>
    <row r="50" spans="2:10" s="1" customFormat="1" x14ac:dyDescent="0.25">
      <c r="C50" s="545" t="s">
        <v>41</v>
      </c>
      <c r="D50" s="541">
        <v>200000</v>
      </c>
      <c r="F50" s="161" t="s">
        <v>445</v>
      </c>
      <c r="G50" s="156"/>
      <c r="H50" s="350"/>
      <c r="J50" s="190"/>
    </row>
    <row r="51" spans="2:10" s="1" customFormat="1" x14ac:dyDescent="0.25">
      <c r="B51" s="191"/>
      <c r="C51" s="7"/>
      <c r="F51" s="156" t="s">
        <v>446</v>
      </c>
      <c r="G51" s="156"/>
      <c r="H51" s="584">
        <f>D42*D21</f>
        <v>6476812.5</v>
      </c>
    </row>
    <row r="52" spans="2:10" s="1" customFormat="1" x14ac:dyDescent="0.25">
      <c r="B52" s="191"/>
      <c r="C52" s="7"/>
      <c r="F52" s="12" t="s">
        <v>447</v>
      </c>
      <c r="G52" s="12"/>
      <c r="H52" s="586">
        <f>IF(D15=Codes!W2,D25*D21,0)</f>
        <v>0</v>
      </c>
    </row>
    <row r="53" spans="2:10" s="1" customFormat="1" x14ac:dyDescent="0.25">
      <c r="H53" s="45">
        <f>SUM(H51:H52)</f>
        <v>6476812.5</v>
      </c>
    </row>
    <row r="54" spans="2:10" s="1" customFormat="1" ht="15.75" thickBot="1" x14ac:dyDescent="0.3">
      <c r="H54" s="190"/>
    </row>
    <row r="55" spans="2:10" s="1" customFormat="1" x14ac:dyDescent="0.25">
      <c r="F55" s="587" t="s">
        <v>448</v>
      </c>
      <c r="G55" s="588"/>
      <c r="H55" s="589">
        <f>H49-H53</f>
        <v>-2638406.25</v>
      </c>
    </row>
    <row r="56" spans="2:10" s="1" customFormat="1" x14ac:dyDescent="0.25">
      <c r="B56" s="169" t="s">
        <v>489</v>
      </c>
      <c r="F56" s="590"/>
      <c r="G56" s="156"/>
      <c r="H56" s="591"/>
    </row>
    <row r="57" spans="2:10" s="1" customFormat="1" x14ac:dyDescent="0.25">
      <c r="B57" s="169" t="s">
        <v>488</v>
      </c>
      <c r="F57" s="592" t="s">
        <v>474</v>
      </c>
      <c r="G57" s="161"/>
      <c r="H57" s="593">
        <f>D24*D21</f>
        <v>8400000</v>
      </c>
    </row>
    <row r="58" spans="2:10" s="1" customFormat="1" x14ac:dyDescent="0.25">
      <c r="F58" s="592"/>
      <c r="G58" s="161"/>
      <c r="H58" s="593"/>
    </row>
    <row r="59" spans="2:10" s="1" customFormat="1" x14ac:dyDescent="0.25">
      <c r="F59" s="592" t="s">
        <v>449</v>
      </c>
      <c r="G59" s="161"/>
      <c r="H59" s="593">
        <f>-D44*D21</f>
        <v>-3238406.25</v>
      </c>
    </row>
    <row r="60" spans="2:10" s="1" customFormat="1" ht="15.75" thickBot="1" x14ac:dyDescent="0.3">
      <c r="F60" s="594" t="s">
        <v>450</v>
      </c>
      <c r="G60" s="595"/>
      <c r="H60" s="596">
        <f>H55</f>
        <v>-2638406.25</v>
      </c>
    </row>
    <row r="61" spans="2:10" s="1" customFormat="1" x14ac:dyDescent="0.25"/>
    <row r="62" spans="2:10" s="1" customFormat="1" x14ac:dyDescent="0.25"/>
    <row r="63" spans="2:10" s="1" customFormat="1" x14ac:dyDescent="0.25"/>
    <row r="64" spans="2:10" s="1" customFormat="1" x14ac:dyDescent="0.25"/>
    <row r="65" spans="6:9" s="1" customFormat="1" x14ac:dyDescent="0.25"/>
    <row r="66" spans="6:9" s="1" customFormat="1" x14ac:dyDescent="0.25"/>
    <row r="67" spans="6:9" s="1" customFormat="1" x14ac:dyDescent="0.25">
      <c r="I67" s="104"/>
    </row>
    <row r="68" spans="6:9" s="1" customFormat="1" x14ac:dyDescent="0.25"/>
    <row r="69" spans="6:9" s="1" customFormat="1" x14ac:dyDescent="0.25">
      <c r="F69" s="156"/>
      <c r="G69" s="156"/>
      <c r="H69" s="156"/>
      <c r="I69" s="156"/>
    </row>
    <row r="70" spans="6:9" s="1" customFormat="1" x14ac:dyDescent="0.25">
      <c r="F70" s="156"/>
      <c r="G70" s="156"/>
      <c r="H70" s="156"/>
      <c r="I70" s="350"/>
    </row>
    <row r="71" spans="6:9" s="1" customFormat="1" x14ac:dyDescent="0.25">
      <c r="F71" s="156"/>
      <c r="G71" s="156"/>
      <c r="H71" s="156"/>
      <c r="I71" s="156"/>
    </row>
    <row r="72" spans="6:9" s="1" customFormat="1" x14ac:dyDescent="0.25">
      <c r="F72" s="156"/>
      <c r="G72" s="156"/>
      <c r="H72" s="156"/>
      <c r="I72" s="156"/>
    </row>
    <row r="73" spans="6:9" s="1" customFormat="1" x14ac:dyDescent="0.25">
      <c r="F73" s="156"/>
      <c r="G73" s="156"/>
      <c r="H73" s="156"/>
      <c r="I73" s="156"/>
    </row>
    <row r="74" spans="6:9" s="1" customFormat="1" x14ac:dyDescent="0.25">
      <c r="F74" s="156"/>
      <c r="G74" s="156"/>
      <c r="H74" s="156"/>
      <c r="I74" s="156"/>
    </row>
    <row r="75" spans="6:9" s="1" customFormat="1" x14ac:dyDescent="0.25">
      <c r="F75" s="161"/>
      <c r="G75" s="156"/>
      <c r="H75" s="156"/>
      <c r="I75" s="156"/>
    </row>
    <row r="76" spans="6:9" s="1" customFormat="1" x14ac:dyDescent="0.25">
      <c r="F76" s="156"/>
      <c r="G76" s="156"/>
      <c r="H76" s="601"/>
      <c r="I76" s="156"/>
    </row>
    <row r="77" spans="6:9" s="1" customFormat="1" x14ac:dyDescent="0.25">
      <c r="F77" s="156"/>
      <c r="G77" s="156"/>
      <c r="H77" s="601"/>
      <c r="I77" s="156"/>
    </row>
    <row r="78" spans="6:9" s="1" customFormat="1" x14ac:dyDescent="0.25">
      <c r="F78" s="156"/>
      <c r="G78" s="156"/>
      <c r="H78" s="156"/>
      <c r="I78" s="156"/>
    </row>
    <row r="79" spans="6:9" s="1" customFormat="1" x14ac:dyDescent="0.25">
      <c r="F79" s="219"/>
      <c r="G79" s="156"/>
      <c r="H79" s="350"/>
      <c r="I79" s="156"/>
    </row>
    <row r="80" spans="6:9" s="1" customFormat="1" x14ac:dyDescent="0.25">
      <c r="F80" s="799"/>
      <c r="G80" s="799"/>
      <c r="H80" s="584"/>
      <c r="I80" s="156"/>
    </row>
    <row r="81" spans="6:9" s="1" customFormat="1" x14ac:dyDescent="0.25">
      <c r="F81" s="156"/>
      <c r="G81" s="156"/>
      <c r="H81" s="156"/>
      <c r="I81" s="156"/>
    </row>
    <row r="82" spans="6:9" s="1" customFormat="1" x14ac:dyDescent="0.25">
      <c r="F82" s="219"/>
      <c r="G82" s="156"/>
      <c r="H82" s="399"/>
      <c r="I82" s="602"/>
    </row>
    <row r="83" spans="6:9" s="1" customFormat="1" x14ac:dyDescent="0.25">
      <c r="F83" s="156"/>
      <c r="G83" s="156"/>
      <c r="H83" s="399"/>
      <c r="I83" s="156"/>
    </row>
    <row r="84" spans="6:9" s="1" customFormat="1" x14ac:dyDescent="0.25">
      <c r="F84" s="798"/>
      <c r="G84" s="798"/>
      <c r="H84" s="603"/>
      <c r="I84" s="156"/>
    </row>
    <row r="85" spans="6:9" s="1" customFormat="1" x14ac:dyDescent="0.25">
      <c r="F85" s="156"/>
      <c r="G85" s="156"/>
      <c r="H85" s="156"/>
      <c r="I85" s="156"/>
    </row>
    <row r="86" spans="6:9" s="1" customFormat="1" x14ac:dyDescent="0.25">
      <c r="F86" s="156"/>
      <c r="G86" s="156"/>
      <c r="H86" s="156"/>
      <c r="I86" s="156"/>
    </row>
    <row r="87" spans="6:9" s="1" customFormat="1" x14ac:dyDescent="0.25"/>
    <row r="88" spans="6:9" s="1" customFormat="1" x14ac:dyDescent="0.25"/>
    <row r="89" spans="6:9" s="1" customFormat="1" x14ac:dyDescent="0.25"/>
    <row r="90" spans="6:9" s="1" customFormat="1" x14ac:dyDescent="0.25"/>
    <row r="91" spans="6:9" s="1" customFormat="1" x14ac:dyDescent="0.25"/>
    <row r="92" spans="6:9" s="1" customFormat="1" x14ac:dyDescent="0.25"/>
    <row r="93" spans="6:9" s="1" customFormat="1" x14ac:dyDescent="0.25"/>
    <row r="94" spans="6:9" s="1" customFormat="1" x14ac:dyDescent="0.25"/>
    <row r="95" spans="6:9" s="1" customFormat="1" x14ac:dyDescent="0.25"/>
    <row r="96" spans="6:9"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sheetData>
  <sheetProtection algorithmName="SHA-512" hashValue="AmwD+YGGKMA/DThogpz8nksXszUGXL7Z1zeO4rWLL2wXfzyGlD+VLPl31syspl6eL5Z99AsLmjCAWd1dfrkkkg==" saltValue="paj8dVzhoDPUg5EpG66dnQ==" spinCount="100000" sheet="1" objects="1" scenarios="1"/>
  <mergeCells count="4">
    <mergeCell ref="B2:H3"/>
    <mergeCell ref="F19:H19"/>
    <mergeCell ref="F84:G84"/>
    <mergeCell ref="F80:G80"/>
  </mergeCells>
  <pageMargins left="0.7" right="0.7" top="0.75" bottom="0.75" header="0.3" footer="0.3"/>
  <pageSetup paperSize="9" orientation="portrait" r:id="rId1"/>
  <ignoredErrors>
    <ignoredError sqref="D42 D44"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 id="{0656CB29-DD03-4FAB-8911-7386AFA195F3}">
            <x14:iconSet showValue="0" custom="1">
              <x14:cfvo type="percent">
                <xm:f>0</xm:f>
              </x14:cfvo>
              <x14:cfvo type="num">
                <xm:f>0</xm:f>
              </x14:cfvo>
              <x14:cfvo type="num">
                <xm:f>1</xm:f>
              </x14:cfvo>
              <x14:cfIcon iconSet="3TrafficLights1" iconId="2"/>
              <x14:cfIcon iconSet="3TrafficLights1" iconId="0"/>
              <x14:cfIcon iconSet="3TrafficLights1" iconId="2"/>
            </x14:iconSet>
          </x14:cfRule>
          <xm:sqref>E39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6FB59B0-4B7D-43D7-97B3-A5593F7F90F8}">
          <x14:formula1>
            <xm:f>Codes!$W$1:$W$2</xm:f>
          </x14:formula1>
          <xm:sqref>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F115E-DFDA-4360-A0F3-52C42BE5B7B8}">
  <sheetPr>
    <tabColor theme="9" tint="-0.249977111117893"/>
  </sheetPr>
  <dimension ref="A1:AZ764"/>
  <sheetViews>
    <sheetView zoomScale="70" zoomScaleNormal="70" workbookViewId="0">
      <selection activeCell="J28" sqref="J28"/>
    </sheetView>
  </sheetViews>
  <sheetFormatPr defaultRowHeight="15" x14ac:dyDescent="0.25"/>
  <cols>
    <col min="1" max="1" width="9.140625" style="1"/>
    <col min="2" max="2" width="29.85546875" customWidth="1"/>
    <col min="3" max="3" width="31.5703125" customWidth="1"/>
    <col min="4" max="4" width="25.140625" customWidth="1"/>
    <col min="5" max="5" width="16.5703125" bestFit="1" customWidth="1"/>
    <col min="6" max="6" width="13.7109375" customWidth="1"/>
    <col min="7" max="7" width="15.140625" customWidth="1"/>
    <col min="8" max="8" width="17.42578125" customWidth="1"/>
    <col min="9" max="9" width="33.7109375" customWidth="1"/>
    <col min="10" max="10" width="34.5703125" customWidth="1"/>
    <col min="11" max="11" width="43.42578125" customWidth="1"/>
    <col min="12" max="12" width="31.140625" style="1" bestFit="1" customWidth="1"/>
    <col min="13" max="13" width="15" style="1" customWidth="1"/>
    <col min="14" max="52" width="9.140625" style="1"/>
  </cols>
  <sheetData>
    <row r="1" spans="2:14" s="1" customFormat="1" x14ac:dyDescent="0.25"/>
    <row r="2" spans="2:14" s="1" customFormat="1" ht="14.25" customHeight="1" x14ac:dyDescent="0.25">
      <c r="B2" s="753" t="s">
        <v>356</v>
      </c>
      <c r="C2" s="753"/>
      <c r="D2" s="753"/>
      <c r="E2" s="753"/>
      <c r="F2" s="753"/>
      <c r="G2" s="753"/>
      <c r="H2" s="753"/>
      <c r="I2" s="753"/>
      <c r="J2" s="753"/>
      <c r="K2" s="753"/>
      <c r="L2" s="485"/>
    </row>
    <row r="3" spans="2:14" s="1" customFormat="1" ht="14.25" customHeight="1" x14ac:dyDescent="0.25">
      <c r="B3" s="753"/>
      <c r="C3" s="753"/>
      <c r="D3" s="753"/>
      <c r="E3" s="753"/>
      <c r="F3" s="753"/>
      <c r="G3" s="753"/>
      <c r="H3" s="753"/>
      <c r="I3" s="753"/>
      <c r="J3" s="753"/>
      <c r="K3" s="753"/>
      <c r="L3" s="485"/>
    </row>
    <row r="4" spans="2:14" s="1" customFormat="1" ht="14.25" customHeight="1" x14ac:dyDescent="0.25">
      <c r="B4" s="753"/>
      <c r="C4" s="753"/>
      <c r="D4" s="753"/>
      <c r="E4" s="753"/>
      <c r="F4" s="753"/>
      <c r="G4" s="753"/>
      <c r="H4" s="753"/>
      <c r="I4" s="753"/>
      <c r="J4" s="753"/>
      <c r="K4" s="753"/>
      <c r="L4" s="485"/>
      <c r="M4" s="156"/>
      <c r="N4" s="156"/>
    </row>
    <row r="5" spans="2:14" s="1" customFormat="1" x14ac:dyDescent="0.25">
      <c r="J5" s="156"/>
      <c r="K5" s="156"/>
      <c r="L5" s="156"/>
      <c r="M5" s="156"/>
      <c r="N5" s="156"/>
    </row>
    <row r="6" spans="2:14" s="1" customFormat="1" x14ac:dyDescent="0.25">
      <c r="B6" s="69" t="s">
        <v>97</v>
      </c>
      <c r="C6" s="5"/>
      <c r="D6" s="5"/>
      <c r="E6" s="5"/>
      <c r="F6" s="5"/>
      <c r="G6" s="5"/>
      <c r="H6" s="5"/>
      <c r="I6" s="5"/>
      <c r="J6" s="5"/>
      <c r="K6" s="6"/>
      <c r="L6" s="156"/>
      <c r="M6" s="156"/>
      <c r="N6" s="156"/>
    </row>
    <row r="7" spans="2:14" s="1" customFormat="1" x14ac:dyDescent="0.25">
      <c r="B7" s="2" t="s">
        <v>377</v>
      </c>
      <c r="C7" s="156"/>
      <c r="D7" s="156"/>
      <c r="E7" s="156"/>
      <c r="F7" s="156"/>
      <c r="G7" s="156"/>
      <c r="H7" s="156"/>
      <c r="I7" s="156"/>
      <c r="J7" s="156"/>
      <c r="K7" s="3"/>
      <c r="L7" s="156"/>
      <c r="M7" s="156"/>
      <c r="N7" s="156"/>
    </row>
    <row r="8" spans="2:14" s="1" customFormat="1" x14ac:dyDescent="0.25">
      <c r="B8" s="2" t="s">
        <v>378</v>
      </c>
      <c r="C8" s="156"/>
      <c r="D8" s="156"/>
      <c r="E8" s="156"/>
      <c r="F8" s="156"/>
      <c r="G8" s="156"/>
      <c r="H8" s="156"/>
      <c r="I8" s="156"/>
      <c r="J8" s="156"/>
      <c r="K8" s="3"/>
      <c r="L8" s="156"/>
      <c r="M8" s="156"/>
      <c r="N8" s="156"/>
    </row>
    <row r="9" spans="2:14" s="1" customFormat="1" x14ac:dyDescent="0.25">
      <c r="B9" s="2"/>
      <c r="C9" s="156"/>
      <c r="D9" s="156"/>
      <c r="E9" s="156"/>
      <c r="F9" s="156"/>
      <c r="G9" s="156"/>
      <c r="H9" s="156"/>
      <c r="I9" s="156"/>
      <c r="J9" s="156"/>
      <c r="K9" s="3"/>
      <c r="L9" s="156"/>
      <c r="M9" s="156"/>
      <c r="N9" s="156"/>
    </row>
    <row r="10" spans="2:14" s="1" customFormat="1" x14ac:dyDescent="0.25">
      <c r="B10" s="2" t="s">
        <v>381</v>
      </c>
      <c r="C10" s="156"/>
      <c r="D10" s="156"/>
      <c r="E10" s="156"/>
      <c r="F10" s="156"/>
      <c r="G10" s="156"/>
      <c r="H10" s="156"/>
      <c r="I10" s="156"/>
      <c r="J10" s="156"/>
      <c r="K10" s="3"/>
      <c r="L10" s="156"/>
      <c r="M10" s="156"/>
      <c r="N10" s="156"/>
    </row>
    <row r="11" spans="2:14" s="1" customFormat="1" x14ac:dyDescent="0.25">
      <c r="B11" s="11"/>
      <c r="C11" s="12"/>
      <c r="D11" s="12"/>
      <c r="E11" s="12"/>
      <c r="F11" s="12"/>
      <c r="G11" s="12"/>
      <c r="H11" s="12"/>
      <c r="I11" s="12"/>
      <c r="J11" s="12"/>
      <c r="K11" s="16"/>
      <c r="L11" s="156"/>
      <c r="M11" s="156"/>
      <c r="N11" s="156"/>
    </row>
    <row r="12" spans="2:14" s="1" customFormat="1" x14ac:dyDescent="0.25">
      <c r="B12" s="346" t="s">
        <v>352</v>
      </c>
      <c r="J12" s="156"/>
      <c r="K12" s="156"/>
      <c r="L12" s="156"/>
      <c r="M12" s="156"/>
      <c r="N12" s="156"/>
    </row>
    <row r="13" spans="2:14" s="1" customFormat="1" x14ac:dyDescent="0.25"/>
    <row r="14" spans="2:14" s="1" customFormat="1" x14ac:dyDescent="0.25">
      <c r="B14" s="163" t="s">
        <v>349</v>
      </c>
    </row>
    <row r="15" spans="2:14" s="1" customFormat="1" x14ac:dyDescent="0.25"/>
    <row r="16" spans="2:14" s="1" customFormat="1" x14ac:dyDescent="0.25">
      <c r="B16" s="411" t="s">
        <v>101</v>
      </c>
      <c r="C16" s="412" t="s">
        <v>340</v>
      </c>
      <c r="D16" s="419" t="s">
        <v>354</v>
      </c>
    </row>
    <row r="17" spans="2:14" s="1" customFormat="1" x14ac:dyDescent="0.25">
      <c r="B17" s="413" t="s">
        <v>105</v>
      </c>
      <c r="C17" s="567">
        <v>400</v>
      </c>
      <c r="D17" s="20">
        <f>C17*52</f>
        <v>20800</v>
      </c>
      <c r="N17" s="104"/>
    </row>
    <row r="18" spans="2:14" s="1" customFormat="1" x14ac:dyDescent="0.25">
      <c r="B18" s="413" t="s">
        <v>111</v>
      </c>
      <c r="C18" s="567">
        <v>425</v>
      </c>
      <c r="D18" s="20">
        <f t="shared" ref="D18:D22" si="0">C18*52</f>
        <v>22100</v>
      </c>
      <c r="N18" s="104"/>
    </row>
    <row r="19" spans="2:14" s="1" customFormat="1" x14ac:dyDescent="0.25">
      <c r="B19" s="413" t="s">
        <v>113</v>
      </c>
      <c r="C19" s="567">
        <v>450</v>
      </c>
      <c r="D19" s="20">
        <f t="shared" si="0"/>
        <v>23400</v>
      </c>
      <c r="N19" s="104"/>
    </row>
    <row r="20" spans="2:14" s="1" customFormat="1" x14ac:dyDescent="0.25">
      <c r="B20" s="413" t="s">
        <v>115</v>
      </c>
      <c r="C20" s="567">
        <v>500</v>
      </c>
      <c r="D20" s="20">
        <f t="shared" si="0"/>
        <v>26000</v>
      </c>
      <c r="N20" s="104"/>
    </row>
    <row r="21" spans="2:14" s="1" customFormat="1" x14ac:dyDescent="0.25">
      <c r="B21" s="413" t="s">
        <v>117</v>
      </c>
      <c r="C21" s="567">
        <v>550</v>
      </c>
      <c r="D21" s="20">
        <f t="shared" si="0"/>
        <v>28600</v>
      </c>
      <c r="N21" s="104"/>
    </row>
    <row r="22" spans="2:14" s="1" customFormat="1" x14ac:dyDescent="0.25">
      <c r="B22" s="415" t="s">
        <v>119</v>
      </c>
      <c r="C22" s="568">
        <v>600</v>
      </c>
      <c r="D22" s="416">
        <f t="shared" si="0"/>
        <v>31200</v>
      </c>
      <c r="N22" s="104"/>
    </row>
    <row r="23" spans="2:14" s="1" customFormat="1" x14ac:dyDescent="0.25"/>
    <row r="24" spans="2:14" s="1" customFormat="1" x14ac:dyDescent="0.25">
      <c r="B24" s="163" t="s">
        <v>350</v>
      </c>
    </row>
    <row r="25" spans="2:14" s="1" customFormat="1" x14ac:dyDescent="0.25"/>
    <row r="26" spans="2:14" s="1" customFormat="1" x14ac:dyDescent="0.25">
      <c r="B26" s="346" t="s">
        <v>435</v>
      </c>
    </row>
    <row r="27" spans="2:14" s="1" customFormat="1" x14ac:dyDescent="0.25"/>
    <row r="28" spans="2:14" s="1" customFormat="1" x14ac:dyDescent="0.25">
      <c r="B28" s="411" t="str">
        <f>B16</f>
        <v xml:space="preserve">Typology </v>
      </c>
      <c r="C28" s="411" t="s">
        <v>351</v>
      </c>
      <c r="D28" s="800" t="s">
        <v>302</v>
      </c>
      <c r="E28" s="801"/>
      <c r="F28" s="411" t="s">
        <v>303</v>
      </c>
      <c r="G28" s="412" t="s">
        <v>342</v>
      </c>
      <c r="H28" s="410" t="s">
        <v>343</v>
      </c>
      <c r="I28" s="495" t="s">
        <v>390</v>
      </c>
    </row>
    <row r="29" spans="2:14" s="1" customFormat="1" x14ac:dyDescent="0.25">
      <c r="B29" s="413" t="str">
        <f t="shared" ref="B29:B34" si="1">B17</f>
        <v>1 Bed</v>
      </c>
      <c r="C29" s="569">
        <v>1500</v>
      </c>
      <c r="D29" s="570">
        <v>0.08</v>
      </c>
      <c r="E29" s="276">
        <f t="shared" ref="E29:E34" si="2">D29*D17</f>
        <v>1664</v>
      </c>
      <c r="F29" s="569">
        <v>1000</v>
      </c>
      <c r="G29" s="567">
        <v>1000</v>
      </c>
      <c r="H29" s="573">
        <v>500</v>
      </c>
      <c r="I29" s="414">
        <f>IF(C17=0,0,D17-C29-E29-F29-G29-H29)</f>
        <v>15136</v>
      </c>
    </row>
    <row r="30" spans="2:14" s="1" customFormat="1" x14ac:dyDescent="0.25">
      <c r="B30" s="413" t="str">
        <f t="shared" si="1"/>
        <v>2 Bed</v>
      </c>
      <c r="C30" s="569">
        <v>1500</v>
      </c>
      <c r="D30" s="570">
        <v>0.08</v>
      </c>
      <c r="E30" s="276">
        <f t="shared" si="2"/>
        <v>1768</v>
      </c>
      <c r="F30" s="569">
        <v>1500</v>
      </c>
      <c r="G30" s="567">
        <v>1000</v>
      </c>
      <c r="H30" s="573">
        <v>500</v>
      </c>
      <c r="I30" s="414">
        <f>IF(C18=0,0,D18-C30-E30-F30-G30-H30)</f>
        <v>15832</v>
      </c>
    </row>
    <row r="31" spans="2:14" s="1" customFormat="1" x14ac:dyDescent="0.25">
      <c r="B31" s="413" t="str">
        <f t="shared" si="1"/>
        <v>3 Bed</v>
      </c>
      <c r="C31" s="569">
        <v>1500</v>
      </c>
      <c r="D31" s="570">
        <v>0.08</v>
      </c>
      <c r="E31" s="276">
        <f t="shared" si="2"/>
        <v>1872</v>
      </c>
      <c r="F31" s="569">
        <v>2000</v>
      </c>
      <c r="G31" s="567">
        <v>1000</v>
      </c>
      <c r="H31" s="573">
        <v>500</v>
      </c>
      <c r="I31" s="414">
        <f t="shared" ref="I31:I34" si="3">IF(C19=0,0,D19-C31-E31-F31-G31-H31)</f>
        <v>16528</v>
      </c>
    </row>
    <row r="32" spans="2:14" s="1" customFormat="1" x14ac:dyDescent="0.25">
      <c r="B32" s="413" t="str">
        <f t="shared" si="1"/>
        <v>4 Bed</v>
      </c>
      <c r="C32" s="569">
        <v>1500</v>
      </c>
      <c r="D32" s="570">
        <v>0.08</v>
      </c>
      <c r="E32" s="276">
        <f t="shared" si="2"/>
        <v>2080</v>
      </c>
      <c r="F32" s="569">
        <v>2000</v>
      </c>
      <c r="G32" s="567">
        <v>1000</v>
      </c>
      <c r="H32" s="573">
        <v>500</v>
      </c>
      <c r="I32" s="414">
        <f t="shared" si="3"/>
        <v>18920</v>
      </c>
    </row>
    <row r="33" spans="2:9" s="1" customFormat="1" x14ac:dyDescent="0.25">
      <c r="B33" s="413" t="str">
        <f t="shared" si="1"/>
        <v>5 Bed</v>
      </c>
      <c r="C33" s="569">
        <v>0</v>
      </c>
      <c r="D33" s="570">
        <v>0</v>
      </c>
      <c r="E33" s="276">
        <f t="shared" si="2"/>
        <v>0</v>
      </c>
      <c r="F33" s="569">
        <v>0</v>
      </c>
      <c r="G33" s="567">
        <v>0</v>
      </c>
      <c r="H33" s="573">
        <v>0</v>
      </c>
      <c r="I33" s="414">
        <f t="shared" si="3"/>
        <v>28600</v>
      </c>
    </row>
    <row r="34" spans="2:9" s="1" customFormat="1" x14ac:dyDescent="0.25">
      <c r="B34" s="415" t="str">
        <f t="shared" si="1"/>
        <v>6 Bed</v>
      </c>
      <c r="C34" s="571">
        <v>0</v>
      </c>
      <c r="D34" s="572">
        <v>0</v>
      </c>
      <c r="E34" s="417">
        <f t="shared" si="2"/>
        <v>0</v>
      </c>
      <c r="F34" s="571">
        <v>0</v>
      </c>
      <c r="G34" s="568">
        <v>0</v>
      </c>
      <c r="H34" s="574">
        <v>0</v>
      </c>
      <c r="I34" s="418">
        <f t="shared" si="3"/>
        <v>31200</v>
      </c>
    </row>
    <row r="35" spans="2:9" s="1" customFormat="1" x14ac:dyDescent="0.25">
      <c r="B35" s="350"/>
      <c r="C35" s="157"/>
      <c r="D35" s="396"/>
      <c r="E35" s="276"/>
      <c r="F35" s="157"/>
      <c r="G35" s="157"/>
      <c r="H35" s="157"/>
      <c r="I35" s="157"/>
    </row>
    <row r="36" spans="2:9" s="1" customFormat="1" x14ac:dyDescent="0.25">
      <c r="B36" s="163" t="s">
        <v>353</v>
      </c>
      <c r="I36" s="157"/>
    </row>
    <row r="37" spans="2:9" s="1" customFormat="1" x14ac:dyDescent="0.25">
      <c r="B37" s="163"/>
      <c r="I37" s="157"/>
    </row>
    <row r="38" spans="2:9" s="1" customFormat="1" x14ac:dyDescent="0.25">
      <c r="B38" s="346" t="s">
        <v>406</v>
      </c>
      <c r="I38" s="157"/>
    </row>
    <row r="39" spans="2:9" s="1" customFormat="1" x14ac:dyDescent="0.25">
      <c r="B39" s="346" t="s">
        <v>436</v>
      </c>
      <c r="I39" s="157"/>
    </row>
    <row r="40" spans="2:9" s="1" customFormat="1" x14ac:dyDescent="0.25">
      <c r="B40" s="346" t="s">
        <v>380</v>
      </c>
      <c r="I40" s="157"/>
    </row>
    <row r="41" spans="2:9" s="1" customFormat="1" x14ac:dyDescent="0.25">
      <c r="B41" s="346" t="s">
        <v>434</v>
      </c>
      <c r="I41" s="157"/>
    </row>
    <row r="42" spans="2:9" s="1" customFormat="1" x14ac:dyDescent="0.25">
      <c r="I42" s="157"/>
    </row>
    <row r="43" spans="2:9" s="1" customFormat="1" x14ac:dyDescent="0.25">
      <c r="B43" s="803" t="s">
        <v>379</v>
      </c>
      <c r="C43" s="804"/>
      <c r="D43" s="484"/>
      <c r="E43" s="575">
        <v>1600000</v>
      </c>
      <c r="I43" s="157"/>
    </row>
    <row r="44" spans="2:9" s="1" customFormat="1" x14ac:dyDescent="0.25">
      <c r="B44" s="805" t="s">
        <v>229</v>
      </c>
      <c r="C44" s="802"/>
      <c r="D44" s="156"/>
      <c r="E44" s="576">
        <v>0.06</v>
      </c>
      <c r="F44" s="174"/>
      <c r="I44" s="157"/>
    </row>
    <row r="45" spans="2:9" s="1" customFormat="1" x14ac:dyDescent="0.25">
      <c r="B45" s="805" t="s">
        <v>367</v>
      </c>
      <c r="C45" s="802"/>
      <c r="D45" s="156"/>
      <c r="E45" s="20">
        <f>E43*E44</f>
        <v>96000</v>
      </c>
      <c r="F45" s="174"/>
      <c r="I45" s="157"/>
    </row>
    <row r="46" spans="2:9" s="1" customFormat="1" x14ac:dyDescent="0.25">
      <c r="B46" s="805" t="s">
        <v>345</v>
      </c>
      <c r="C46" s="802"/>
      <c r="D46" s="156"/>
      <c r="E46" s="20">
        <f>E45/52</f>
        <v>1846.1538461538462</v>
      </c>
      <c r="F46" s="174"/>
      <c r="I46" s="157"/>
    </row>
    <row r="47" spans="2:9" s="1" customFormat="1" x14ac:dyDescent="0.25">
      <c r="B47" s="806" t="s">
        <v>355</v>
      </c>
      <c r="C47" s="807"/>
      <c r="D47" s="12"/>
      <c r="E47" s="416">
        <f>E46/'Detailed Feasibility Inputs'!F22</f>
        <v>153.84615384615384</v>
      </c>
      <c r="F47" s="174"/>
      <c r="I47" s="157"/>
    </row>
    <row r="48" spans="2:9" s="1" customFormat="1" x14ac:dyDescent="0.25">
      <c r="F48" s="350"/>
      <c r="G48" s="156"/>
      <c r="H48" s="156"/>
      <c r="I48" s="157"/>
    </row>
    <row r="49" spans="2:11" s="1" customFormat="1" x14ac:dyDescent="0.25">
      <c r="F49" s="350"/>
      <c r="G49" s="156"/>
      <c r="H49" s="156"/>
      <c r="I49" s="157"/>
    </row>
    <row r="50" spans="2:11" s="1" customFormat="1" x14ac:dyDescent="0.25">
      <c r="B50" s="211" t="s">
        <v>428</v>
      </c>
      <c r="C50" s="156"/>
      <c r="D50" s="156"/>
      <c r="E50" s="156"/>
      <c r="F50" s="156"/>
      <c r="G50" s="156"/>
      <c r="H50" s="156"/>
      <c r="I50" s="156"/>
      <c r="J50" s="156"/>
      <c r="K50" s="156"/>
    </row>
    <row r="51" spans="2:11" s="1" customFormat="1" x14ac:dyDescent="0.25">
      <c r="B51" s="156"/>
      <c r="C51" s="156"/>
      <c r="D51" s="156"/>
      <c r="E51" s="156"/>
      <c r="F51" s="156"/>
      <c r="G51" s="156"/>
      <c r="H51" s="156"/>
      <c r="I51" s="156"/>
      <c r="J51" s="156"/>
      <c r="K51" s="156"/>
    </row>
    <row r="52" spans="2:11" s="1" customFormat="1" x14ac:dyDescent="0.25">
      <c r="B52" s="556" t="s">
        <v>101</v>
      </c>
      <c r="C52" s="419" t="s">
        <v>427</v>
      </c>
      <c r="D52" s="557" t="s">
        <v>341</v>
      </c>
      <c r="E52" s="557" t="s">
        <v>302</v>
      </c>
      <c r="F52" s="557" t="s">
        <v>303</v>
      </c>
      <c r="G52" s="557" t="s">
        <v>342</v>
      </c>
      <c r="H52" s="557" t="s">
        <v>343</v>
      </c>
      <c r="I52" s="412" t="s">
        <v>344</v>
      </c>
      <c r="J52" s="419" t="s">
        <v>405</v>
      </c>
      <c r="K52" s="156"/>
    </row>
    <row r="53" spans="2:11" s="1" customFormat="1" x14ac:dyDescent="0.25">
      <c r="B53" s="413" t="str">
        <f t="shared" ref="B53:C58" si="4">B17</f>
        <v>1 Bed</v>
      </c>
      <c r="C53" s="20">
        <f t="shared" si="4"/>
        <v>400</v>
      </c>
      <c r="D53" s="157">
        <f t="shared" ref="D53:D58" si="5">C29/52</f>
        <v>28.846153846153847</v>
      </c>
      <c r="E53" s="157">
        <f t="shared" ref="E53:H58" si="6">E29/52</f>
        <v>32</v>
      </c>
      <c r="F53" s="157">
        <f t="shared" si="6"/>
        <v>19.23076923076923</v>
      </c>
      <c r="G53" s="157">
        <f t="shared" si="6"/>
        <v>19.23076923076923</v>
      </c>
      <c r="H53" s="157">
        <f t="shared" si="6"/>
        <v>9.615384615384615</v>
      </c>
      <c r="I53" s="567">
        <v>192</v>
      </c>
      <c r="J53" s="20">
        <f t="shared" ref="J53:J58" si="7">C53-D53-E53-F53-G53-H53-I53</f>
        <v>99.076923076923038</v>
      </c>
      <c r="K53" s="156"/>
    </row>
    <row r="54" spans="2:11" s="1" customFormat="1" x14ac:dyDescent="0.25">
      <c r="B54" s="413" t="str">
        <f t="shared" si="4"/>
        <v>2 Bed</v>
      </c>
      <c r="C54" s="20">
        <f t="shared" si="4"/>
        <v>425</v>
      </c>
      <c r="D54" s="157">
        <f t="shared" si="5"/>
        <v>28.846153846153847</v>
      </c>
      <c r="E54" s="157">
        <f t="shared" si="6"/>
        <v>34</v>
      </c>
      <c r="F54" s="157">
        <f t="shared" si="6"/>
        <v>28.846153846153847</v>
      </c>
      <c r="G54" s="157">
        <f t="shared" si="6"/>
        <v>19.23076923076923</v>
      </c>
      <c r="H54" s="157">
        <f t="shared" si="6"/>
        <v>9.615384615384615</v>
      </c>
      <c r="I54" s="567">
        <v>192</v>
      </c>
      <c r="J54" s="20">
        <f t="shared" si="7"/>
        <v>112.4615384615384</v>
      </c>
      <c r="K54" s="156"/>
    </row>
    <row r="55" spans="2:11" s="1" customFormat="1" x14ac:dyDescent="0.25">
      <c r="B55" s="413" t="str">
        <f t="shared" si="4"/>
        <v>3 Bed</v>
      </c>
      <c r="C55" s="20">
        <f t="shared" si="4"/>
        <v>450</v>
      </c>
      <c r="D55" s="157">
        <f t="shared" si="5"/>
        <v>28.846153846153847</v>
      </c>
      <c r="E55" s="157">
        <f t="shared" si="6"/>
        <v>36</v>
      </c>
      <c r="F55" s="157">
        <f t="shared" si="6"/>
        <v>38.46153846153846</v>
      </c>
      <c r="G55" s="157">
        <f t="shared" si="6"/>
        <v>19.23076923076923</v>
      </c>
      <c r="H55" s="157">
        <f t="shared" si="6"/>
        <v>9.615384615384615</v>
      </c>
      <c r="I55" s="567">
        <v>192</v>
      </c>
      <c r="J55" s="20">
        <f t="shared" si="7"/>
        <v>125.84615384615381</v>
      </c>
      <c r="K55" s="156"/>
    </row>
    <row r="56" spans="2:11" s="1" customFormat="1" x14ac:dyDescent="0.25">
      <c r="B56" s="413" t="str">
        <f t="shared" si="4"/>
        <v>4 Bed</v>
      </c>
      <c r="C56" s="20">
        <f t="shared" si="4"/>
        <v>500</v>
      </c>
      <c r="D56" s="157">
        <f t="shared" si="5"/>
        <v>28.846153846153847</v>
      </c>
      <c r="E56" s="157">
        <f t="shared" si="6"/>
        <v>40</v>
      </c>
      <c r="F56" s="157">
        <f t="shared" si="6"/>
        <v>38.46153846153846</v>
      </c>
      <c r="G56" s="157">
        <f t="shared" si="6"/>
        <v>19.23076923076923</v>
      </c>
      <c r="H56" s="157">
        <f t="shared" si="6"/>
        <v>9.615384615384615</v>
      </c>
      <c r="I56" s="567">
        <v>192</v>
      </c>
      <c r="J56" s="20">
        <f t="shared" si="7"/>
        <v>171.84615384615381</v>
      </c>
      <c r="K56" s="156"/>
    </row>
    <row r="57" spans="2:11" s="1" customFormat="1" x14ac:dyDescent="0.25">
      <c r="B57" s="413" t="str">
        <f t="shared" si="4"/>
        <v>5 Bed</v>
      </c>
      <c r="C57" s="20">
        <f t="shared" si="4"/>
        <v>550</v>
      </c>
      <c r="D57" s="157">
        <f t="shared" si="5"/>
        <v>0</v>
      </c>
      <c r="E57" s="157">
        <f t="shared" si="6"/>
        <v>0</v>
      </c>
      <c r="F57" s="157">
        <f t="shared" si="6"/>
        <v>0</v>
      </c>
      <c r="G57" s="157">
        <f t="shared" si="6"/>
        <v>0</v>
      </c>
      <c r="H57" s="157">
        <f t="shared" si="6"/>
        <v>0</v>
      </c>
      <c r="I57" s="567">
        <v>193</v>
      </c>
      <c r="J57" s="20">
        <f t="shared" si="7"/>
        <v>357</v>
      </c>
      <c r="K57" s="156"/>
    </row>
    <row r="58" spans="2:11" s="1" customFormat="1" x14ac:dyDescent="0.25">
      <c r="B58" s="415" t="str">
        <f t="shared" si="4"/>
        <v>6 Bed</v>
      </c>
      <c r="C58" s="416">
        <f t="shared" si="4"/>
        <v>600</v>
      </c>
      <c r="D58" s="21">
        <f t="shared" si="5"/>
        <v>0</v>
      </c>
      <c r="E58" s="21">
        <f t="shared" si="6"/>
        <v>0</v>
      </c>
      <c r="F58" s="21">
        <f t="shared" si="6"/>
        <v>0</v>
      </c>
      <c r="G58" s="21">
        <f t="shared" si="6"/>
        <v>0</v>
      </c>
      <c r="H58" s="21">
        <f t="shared" si="6"/>
        <v>0</v>
      </c>
      <c r="I58" s="568">
        <v>193</v>
      </c>
      <c r="J58" s="416">
        <f t="shared" si="7"/>
        <v>407</v>
      </c>
      <c r="K58" s="156"/>
    </row>
    <row r="59" spans="2:11" s="1" customFormat="1" x14ac:dyDescent="0.25">
      <c r="B59" s="156"/>
      <c r="C59" s="156"/>
      <c r="D59" s="156"/>
      <c r="E59" s="156"/>
      <c r="F59" s="156"/>
      <c r="G59" s="156"/>
      <c r="H59" s="156"/>
      <c r="I59" s="156"/>
      <c r="J59" s="156"/>
      <c r="K59" s="156"/>
    </row>
    <row r="60" spans="2:11" s="1" customFormat="1" x14ac:dyDescent="0.25">
      <c r="B60" s="420" t="s">
        <v>463</v>
      </c>
      <c r="C60" s="420"/>
      <c r="D60" s="420"/>
      <c r="E60" s="157">
        <f>($I$53*'Detailed Feasibility Inputs'!$F$16)+($I$54*'Detailed Feasibility Inputs'!$F$17)+($I$55*'Detailed Feasibility Inputs'!$F$18)+($I$56*'Detailed Feasibility Inputs'!$F$19)+($I$57*'Detailed Feasibility Inputs'!$F$20)+($I$58*'Detailed Feasibility Inputs'!$F$21)</f>
        <v>2308</v>
      </c>
      <c r="F60" s="424">
        <f>IF(E60&gt;E46,0,1)</f>
        <v>0</v>
      </c>
      <c r="G60" s="156"/>
      <c r="H60" s="156"/>
      <c r="I60" s="156"/>
      <c r="J60" s="156"/>
      <c r="K60" s="156"/>
    </row>
    <row r="61" spans="2:11" s="1" customFormat="1" x14ac:dyDescent="0.25">
      <c r="B61" s="802" t="s">
        <v>464</v>
      </c>
      <c r="C61" s="802"/>
      <c r="D61" s="156"/>
      <c r="E61" s="157">
        <f>$E$60/'Detailed Feasibility Inputs'!$F$22</f>
        <v>192.33333333333334</v>
      </c>
      <c r="G61" s="156"/>
      <c r="H61" s="156"/>
      <c r="I61" s="156"/>
      <c r="J61" s="156"/>
      <c r="K61" s="156"/>
    </row>
    <row r="62" spans="2:11" s="1" customFormat="1" x14ac:dyDescent="0.25">
      <c r="B62" s="156"/>
      <c r="C62" s="156"/>
      <c r="D62" s="156"/>
      <c r="E62" s="156"/>
      <c r="F62" s="156"/>
      <c r="G62" s="156"/>
      <c r="H62" s="156"/>
      <c r="I62" s="156"/>
      <c r="J62" s="156"/>
      <c r="K62" s="156"/>
    </row>
    <row r="63" spans="2:11" s="1" customFormat="1" x14ac:dyDescent="0.25"/>
    <row r="64" spans="2:11" s="1" customFormat="1" x14ac:dyDescent="0.25"/>
    <row r="65" spans="6:8" s="1" customFormat="1" x14ac:dyDescent="0.25"/>
    <row r="66" spans="6:8" s="1" customFormat="1" x14ac:dyDescent="0.25"/>
    <row r="67" spans="6:8" s="1" customFormat="1" x14ac:dyDescent="0.25"/>
    <row r="68" spans="6:8" s="1" customFormat="1" x14ac:dyDescent="0.25"/>
    <row r="69" spans="6:8" s="1" customFormat="1" x14ac:dyDescent="0.25"/>
    <row r="70" spans="6:8" s="1" customFormat="1" x14ac:dyDescent="0.25"/>
    <row r="71" spans="6:8" s="1" customFormat="1" x14ac:dyDescent="0.25"/>
    <row r="72" spans="6:8" s="1" customFormat="1" x14ac:dyDescent="0.25"/>
    <row r="73" spans="6:8" s="1" customFormat="1" x14ac:dyDescent="0.25"/>
    <row r="74" spans="6:8" s="1" customFormat="1" x14ac:dyDescent="0.25"/>
    <row r="75" spans="6:8" s="1" customFormat="1" x14ac:dyDescent="0.25">
      <c r="F75" s="156"/>
      <c r="G75" s="156"/>
      <c r="H75" s="156"/>
    </row>
    <row r="76" spans="6:8" s="1" customFormat="1" x14ac:dyDescent="0.25">
      <c r="F76" s="156"/>
      <c r="G76" s="156"/>
      <c r="H76" s="156"/>
    </row>
    <row r="77" spans="6:8" s="1" customFormat="1" x14ac:dyDescent="0.25">
      <c r="F77" s="156"/>
      <c r="G77" s="156"/>
      <c r="H77" s="156"/>
    </row>
    <row r="78" spans="6:8" s="1" customFormat="1" x14ac:dyDescent="0.25">
      <c r="F78" s="156"/>
      <c r="G78" s="156"/>
      <c r="H78" s="156"/>
    </row>
    <row r="79" spans="6:8" s="1" customFormat="1" x14ac:dyDescent="0.25">
      <c r="F79" s="156"/>
      <c r="G79" s="156"/>
      <c r="H79" s="156"/>
    </row>
    <row r="80" spans="6:8"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sheetData>
  <sheetProtection algorithmName="SHA-512" hashValue="swLdtrNfkPVxlAPnTN4zF9MiSk1EbB5B/JeEgfXsLUaPAUVXbHtkeu9ANcV+YHlcBZRGQ2yals3DG1At797uJg==" saltValue="5TC7hr+nS1qSGlCwIlcSPw==" spinCount="100000" sheet="1" objects="1" scenarios="1"/>
  <mergeCells count="8">
    <mergeCell ref="B2:K4"/>
    <mergeCell ref="D28:E28"/>
    <mergeCell ref="B61:C61"/>
    <mergeCell ref="B43:C43"/>
    <mergeCell ref="B44:C44"/>
    <mergeCell ref="B45:C45"/>
    <mergeCell ref="B46:C46"/>
    <mergeCell ref="B47:C47"/>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47AC0A78-1BB0-4FA0-A962-8C2810F99904}">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F60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7754-119C-4BAC-8DE2-9781A05CCEBE}">
  <sheetPr>
    <tabColor theme="8"/>
  </sheetPr>
  <dimension ref="A1:CZ402"/>
  <sheetViews>
    <sheetView topLeftCell="A34" zoomScaleNormal="100" workbookViewId="0">
      <selection activeCell="F47" sqref="F47"/>
    </sheetView>
  </sheetViews>
  <sheetFormatPr defaultColWidth="9.140625" defaultRowHeight="15" x14ac:dyDescent="0.25"/>
  <cols>
    <col min="1" max="1" width="9.140625" style="610"/>
    <col min="2" max="2" width="42.28515625" style="610" customWidth="1"/>
    <col min="3" max="3" width="18" style="610" customWidth="1"/>
    <col min="4" max="4" width="17.5703125" style="610" customWidth="1"/>
    <col min="5" max="5" width="18.140625" style="610" customWidth="1"/>
    <col min="6" max="6" width="25.42578125" style="610" customWidth="1"/>
    <col min="7" max="7" width="16.42578125" style="610" bestFit="1" customWidth="1"/>
    <col min="8" max="8" width="14.5703125" style="610" bestFit="1" customWidth="1"/>
    <col min="9" max="9" width="14.85546875" style="610" bestFit="1" customWidth="1"/>
    <col min="10" max="10" width="13.140625" style="610" customWidth="1"/>
    <col min="11" max="11" width="12.42578125" style="610" customWidth="1"/>
    <col min="12" max="12" width="14.5703125" style="610" bestFit="1" customWidth="1"/>
    <col min="13" max="13" width="13.28515625" style="610" bestFit="1" customWidth="1"/>
    <col min="14" max="14" width="9.140625" style="610" bestFit="1" customWidth="1"/>
    <col min="15" max="15" width="15.140625" style="610" bestFit="1" customWidth="1"/>
    <col min="16" max="16" width="12" style="610" bestFit="1" customWidth="1"/>
    <col min="17" max="17" width="18.28515625" style="610" customWidth="1"/>
    <col min="18" max="18" width="14.28515625" style="610" bestFit="1" customWidth="1"/>
    <col min="19" max="19" width="22.28515625" style="610" bestFit="1" customWidth="1"/>
    <col min="20" max="104" width="9.140625" style="608"/>
    <col min="105" max="16384" width="9.140625" style="610"/>
  </cols>
  <sheetData>
    <row r="1" spans="1:104" x14ac:dyDescent="0.25">
      <c r="A1" s="608"/>
      <c r="B1" s="609"/>
      <c r="C1" s="609"/>
      <c r="D1" s="609"/>
      <c r="E1" s="609"/>
      <c r="F1" s="609"/>
      <c r="G1" s="609"/>
      <c r="H1" s="609"/>
      <c r="I1" s="609"/>
      <c r="J1" s="609"/>
      <c r="K1" s="609"/>
      <c r="L1" s="609"/>
      <c r="M1" s="609"/>
      <c r="N1" s="609"/>
      <c r="O1" s="609"/>
      <c r="P1" s="609"/>
      <c r="Q1" s="609"/>
      <c r="R1" s="609"/>
      <c r="S1" s="609"/>
      <c r="T1" s="609"/>
      <c r="U1" s="609"/>
    </row>
    <row r="2" spans="1:104" ht="14.25" customHeight="1" x14ac:dyDescent="0.25">
      <c r="A2" s="608"/>
      <c r="B2" s="808" t="s">
        <v>432</v>
      </c>
      <c r="C2" s="808"/>
      <c r="D2" s="808"/>
      <c r="E2" s="808"/>
      <c r="F2" s="808"/>
      <c r="G2" s="808"/>
      <c r="H2" s="808"/>
      <c r="I2" s="808"/>
      <c r="J2" s="808"/>
      <c r="K2" s="808"/>
      <c r="L2" s="808"/>
      <c r="M2" s="808"/>
      <c r="N2" s="808"/>
      <c r="O2" s="609"/>
      <c r="P2" s="609"/>
      <c r="Q2" s="609"/>
      <c r="R2" s="609"/>
      <c r="S2" s="609"/>
      <c r="T2" s="609"/>
      <c r="U2" s="609"/>
    </row>
    <row r="3" spans="1:104" ht="14.25" customHeight="1" x14ac:dyDescent="0.25">
      <c r="A3" s="608"/>
      <c r="B3" s="808"/>
      <c r="C3" s="808"/>
      <c r="D3" s="808"/>
      <c r="E3" s="808"/>
      <c r="F3" s="808"/>
      <c r="G3" s="808"/>
      <c r="H3" s="808"/>
      <c r="I3" s="808"/>
      <c r="J3" s="808"/>
      <c r="K3" s="808"/>
      <c r="L3" s="808"/>
      <c r="M3" s="808"/>
      <c r="N3" s="808"/>
      <c r="O3" s="609"/>
      <c r="P3" s="609"/>
      <c r="Q3" s="609"/>
      <c r="R3" s="609"/>
      <c r="S3" s="609"/>
      <c r="T3" s="609"/>
      <c r="U3" s="609"/>
    </row>
    <row r="4" spans="1:104" ht="14.25" customHeight="1" x14ac:dyDescent="0.25">
      <c r="A4" s="608"/>
      <c r="B4" s="808"/>
      <c r="C4" s="808"/>
      <c r="D4" s="808"/>
      <c r="E4" s="808"/>
      <c r="F4" s="808"/>
      <c r="G4" s="808"/>
      <c r="H4" s="808"/>
      <c r="I4" s="808"/>
      <c r="J4" s="808"/>
      <c r="K4" s="808"/>
      <c r="L4" s="808"/>
      <c r="M4" s="808"/>
      <c r="N4" s="808"/>
      <c r="O4" s="609"/>
      <c r="P4" s="609"/>
      <c r="Q4" s="609"/>
      <c r="R4" s="609"/>
      <c r="S4" s="609"/>
      <c r="T4" s="609"/>
      <c r="U4" s="609"/>
    </row>
    <row r="5" spans="1:104" x14ac:dyDescent="0.25">
      <c r="A5" s="608"/>
      <c r="B5" s="611"/>
      <c r="C5" s="611"/>
      <c r="D5" s="611"/>
      <c r="E5" s="611"/>
      <c r="F5" s="611"/>
      <c r="G5" s="611"/>
      <c r="H5" s="611"/>
      <c r="I5" s="611"/>
      <c r="J5" s="611"/>
      <c r="K5" s="612"/>
      <c r="L5" s="609"/>
      <c r="M5" s="609"/>
      <c r="N5" s="609"/>
      <c r="O5" s="609"/>
      <c r="P5" s="609"/>
      <c r="Q5" s="609"/>
      <c r="R5" s="609"/>
      <c r="S5" s="609"/>
      <c r="T5" s="609"/>
      <c r="U5" s="609"/>
    </row>
    <row r="6" spans="1:104" ht="24.75" customHeight="1" x14ac:dyDescent="0.25">
      <c r="A6" s="608"/>
      <c r="B6" s="613" t="s">
        <v>97</v>
      </c>
      <c r="C6" s="614"/>
      <c r="D6" s="614"/>
      <c r="E6" s="614"/>
      <c r="F6" s="614"/>
      <c r="G6" s="614"/>
      <c r="H6" s="614"/>
      <c r="I6" s="615"/>
      <c r="J6" s="615"/>
      <c r="K6" s="616"/>
      <c r="L6" s="616"/>
      <c r="M6" s="616"/>
      <c r="N6" s="617"/>
      <c r="O6" s="609"/>
      <c r="P6" s="609"/>
      <c r="Q6" s="609"/>
      <c r="R6" s="609"/>
      <c r="S6" s="609"/>
      <c r="T6" s="609"/>
      <c r="U6" s="609"/>
    </row>
    <row r="7" spans="1:104" s="625" customFormat="1" x14ac:dyDescent="0.25">
      <c r="A7" s="618"/>
      <c r="B7" s="619" t="s">
        <v>266</v>
      </c>
      <c r="C7" s="620"/>
      <c r="D7" s="620"/>
      <c r="E7" s="620"/>
      <c r="F7" s="620"/>
      <c r="G7" s="620"/>
      <c r="H7" s="620"/>
      <c r="I7" s="621"/>
      <c r="J7" s="621"/>
      <c r="K7" s="622"/>
      <c r="L7" s="622"/>
      <c r="M7" s="622"/>
      <c r="N7" s="623"/>
      <c r="O7" s="624"/>
      <c r="P7" s="624"/>
      <c r="Q7" s="624"/>
      <c r="R7" s="624"/>
      <c r="S7" s="624"/>
      <c r="T7" s="624"/>
      <c r="U7" s="624"/>
      <c r="V7" s="618"/>
      <c r="W7" s="618"/>
      <c r="X7" s="618"/>
      <c r="Y7" s="618"/>
      <c r="Z7" s="618"/>
      <c r="AA7" s="618"/>
      <c r="AB7" s="618"/>
      <c r="AC7" s="618"/>
      <c r="AD7" s="618"/>
      <c r="AE7" s="618"/>
      <c r="AF7" s="618"/>
      <c r="AG7" s="618"/>
      <c r="AH7" s="618"/>
      <c r="AI7" s="618"/>
      <c r="AJ7" s="618"/>
      <c r="AK7" s="618"/>
      <c r="AL7" s="618"/>
      <c r="AM7" s="618"/>
      <c r="AN7" s="618"/>
      <c r="AO7" s="618"/>
      <c r="AP7" s="618"/>
      <c r="AQ7" s="618"/>
      <c r="AR7" s="618"/>
      <c r="AS7" s="618"/>
      <c r="AT7" s="618"/>
      <c r="AU7" s="618"/>
      <c r="AV7" s="618"/>
      <c r="AW7" s="618"/>
      <c r="AX7" s="618"/>
      <c r="AY7" s="618"/>
      <c r="AZ7" s="618"/>
      <c r="BA7" s="618"/>
      <c r="BB7" s="618"/>
      <c r="BC7" s="618"/>
      <c r="BD7" s="618"/>
      <c r="BE7" s="618"/>
      <c r="BF7" s="618"/>
      <c r="BG7" s="618"/>
      <c r="BH7" s="618"/>
      <c r="BI7" s="618"/>
      <c r="BJ7" s="618"/>
      <c r="BK7" s="618"/>
      <c r="BL7" s="618"/>
      <c r="BM7" s="618"/>
      <c r="BN7" s="618"/>
      <c r="BO7" s="618"/>
      <c r="BP7" s="618"/>
      <c r="BQ7" s="618"/>
      <c r="BR7" s="618"/>
      <c r="BS7" s="618"/>
      <c r="BT7" s="618"/>
      <c r="BU7" s="618"/>
      <c r="BV7" s="618"/>
      <c r="BW7" s="618"/>
      <c r="BX7" s="618"/>
      <c r="BY7" s="618"/>
      <c r="BZ7" s="618"/>
      <c r="CA7" s="618"/>
      <c r="CB7" s="618"/>
      <c r="CC7" s="618"/>
      <c r="CD7" s="618"/>
      <c r="CE7" s="618"/>
      <c r="CF7" s="618"/>
      <c r="CG7" s="618"/>
      <c r="CH7" s="618"/>
      <c r="CI7" s="618"/>
      <c r="CJ7" s="618"/>
      <c r="CK7" s="618"/>
      <c r="CL7" s="618"/>
      <c r="CM7" s="618"/>
      <c r="CN7" s="618"/>
      <c r="CO7" s="618"/>
      <c r="CP7" s="618"/>
      <c r="CQ7" s="618"/>
      <c r="CR7" s="618"/>
      <c r="CS7" s="618"/>
      <c r="CT7" s="618"/>
      <c r="CU7" s="618"/>
      <c r="CV7" s="618"/>
      <c r="CW7" s="618"/>
      <c r="CX7" s="618"/>
      <c r="CY7" s="618"/>
      <c r="CZ7" s="618"/>
    </row>
    <row r="8" spans="1:104" s="625" customFormat="1" ht="29.25" customHeight="1" x14ac:dyDescent="0.25">
      <c r="A8" s="618"/>
      <c r="B8" s="626" t="s">
        <v>471</v>
      </c>
      <c r="C8" s="627"/>
      <c r="D8" s="627"/>
      <c r="E8" s="627"/>
      <c r="F8" s="627"/>
      <c r="G8" s="627"/>
      <c r="H8" s="627"/>
      <c r="I8" s="628"/>
      <c r="J8" s="628"/>
      <c r="K8" s="629"/>
      <c r="L8" s="629"/>
      <c r="M8" s="629"/>
      <c r="N8" s="630"/>
      <c r="O8" s="624"/>
      <c r="P8" s="624"/>
      <c r="Q8" s="624"/>
      <c r="R8" s="624"/>
      <c r="S8" s="624"/>
      <c r="T8" s="624"/>
      <c r="U8" s="624"/>
      <c r="V8" s="618"/>
      <c r="W8" s="618"/>
      <c r="X8" s="618"/>
      <c r="Y8" s="618"/>
      <c r="Z8" s="618"/>
      <c r="AA8" s="618"/>
      <c r="AB8" s="618"/>
      <c r="AC8" s="618"/>
      <c r="AD8" s="618"/>
      <c r="AE8" s="618"/>
      <c r="AF8" s="618"/>
      <c r="AG8" s="618"/>
      <c r="AH8" s="618"/>
      <c r="AI8" s="618"/>
      <c r="AJ8" s="618"/>
      <c r="AK8" s="618"/>
      <c r="AL8" s="618"/>
      <c r="AM8" s="618"/>
      <c r="AN8" s="618"/>
      <c r="AO8" s="618"/>
      <c r="AP8" s="618"/>
      <c r="AQ8" s="618"/>
      <c r="AR8" s="618"/>
      <c r="AS8" s="618"/>
      <c r="AT8" s="618"/>
      <c r="AU8" s="618"/>
      <c r="AV8" s="618"/>
      <c r="AW8" s="618"/>
      <c r="AX8" s="618"/>
      <c r="AY8" s="618"/>
      <c r="AZ8" s="618"/>
      <c r="BA8" s="618"/>
      <c r="BB8" s="618"/>
      <c r="BC8" s="618"/>
      <c r="BD8" s="618"/>
      <c r="BE8" s="618"/>
      <c r="BF8" s="618"/>
      <c r="BG8" s="618"/>
      <c r="BH8" s="618"/>
      <c r="BI8" s="618"/>
      <c r="BJ8" s="618"/>
      <c r="BK8" s="618"/>
      <c r="BL8" s="618"/>
      <c r="BM8" s="618"/>
      <c r="BN8" s="618"/>
      <c r="BO8" s="618"/>
      <c r="BP8" s="618"/>
      <c r="BQ8" s="618"/>
      <c r="BR8" s="618"/>
      <c r="BS8" s="618"/>
      <c r="BT8" s="618"/>
      <c r="BU8" s="618"/>
      <c r="BV8" s="618"/>
      <c r="BW8" s="618"/>
      <c r="BX8" s="618"/>
      <c r="BY8" s="618"/>
      <c r="BZ8" s="618"/>
      <c r="CA8" s="618"/>
      <c r="CB8" s="618"/>
      <c r="CC8" s="618"/>
      <c r="CD8" s="618"/>
      <c r="CE8" s="618"/>
      <c r="CF8" s="618"/>
      <c r="CG8" s="618"/>
      <c r="CH8" s="618"/>
      <c r="CI8" s="618"/>
      <c r="CJ8" s="618"/>
      <c r="CK8" s="618"/>
      <c r="CL8" s="618"/>
      <c r="CM8" s="618"/>
      <c r="CN8" s="618"/>
      <c r="CO8" s="618"/>
      <c r="CP8" s="618"/>
      <c r="CQ8" s="618"/>
      <c r="CR8" s="618"/>
      <c r="CS8" s="618"/>
      <c r="CT8" s="618"/>
      <c r="CU8" s="618"/>
      <c r="CV8" s="618"/>
      <c r="CW8" s="618"/>
      <c r="CX8" s="618"/>
      <c r="CY8" s="618"/>
      <c r="CZ8" s="618"/>
    </row>
    <row r="9" spans="1:104" ht="12" customHeight="1" x14ac:dyDescent="0.25">
      <c r="A9" s="608"/>
      <c r="B9" s="631"/>
      <c r="C9" s="632"/>
      <c r="D9" s="632"/>
      <c r="E9" s="632"/>
      <c r="F9" s="632"/>
      <c r="G9" s="632"/>
      <c r="H9" s="632"/>
      <c r="I9" s="632"/>
      <c r="J9" s="632"/>
      <c r="K9" s="633"/>
      <c r="L9" s="608"/>
      <c r="M9" s="608"/>
      <c r="N9" s="608"/>
      <c r="O9" s="608"/>
      <c r="P9" s="608"/>
      <c r="Q9" s="608"/>
      <c r="R9" s="608"/>
      <c r="S9" s="608"/>
    </row>
    <row r="10" spans="1:104" ht="15.75" customHeight="1" x14ac:dyDescent="0.25">
      <c r="A10" s="608"/>
      <c r="B10" s="634" t="s">
        <v>276</v>
      </c>
      <c r="C10" s="632"/>
      <c r="D10" s="632"/>
      <c r="E10" s="632"/>
      <c r="F10" s="632"/>
      <c r="G10" s="632"/>
      <c r="H10" s="632"/>
      <c r="I10" s="632"/>
      <c r="J10" s="632"/>
      <c r="K10" s="633"/>
      <c r="L10" s="608"/>
      <c r="M10" s="608"/>
      <c r="N10" s="608"/>
      <c r="O10" s="608"/>
      <c r="P10" s="608"/>
      <c r="Q10" s="608"/>
      <c r="R10" s="608"/>
      <c r="S10" s="608"/>
    </row>
    <row r="11" spans="1:104" x14ac:dyDescent="0.25">
      <c r="A11" s="608"/>
      <c r="B11" s="608"/>
      <c r="C11" s="608"/>
      <c r="D11" s="608"/>
      <c r="E11" s="608"/>
      <c r="F11" s="608"/>
      <c r="G11" s="608"/>
      <c r="H11" s="608"/>
      <c r="I11" s="608"/>
      <c r="J11" s="608"/>
      <c r="K11" s="608"/>
      <c r="L11" s="608"/>
      <c r="M11" s="608"/>
      <c r="N11" s="608"/>
      <c r="O11" s="608"/>
      <c r="P11" s="608"/>
      <c r="Q11" s="608"/>
      <c r="R11" s="608"/>
      <c r="S11" s="608"/>
    </row>
    <row r="12" spans="1:104" x14ac:dyDescent="0.25">
      <c r="A12" s="608"/>
      <c r="B12" s="635" t="s">
        <v>429</v>
      </c>
      <c r="C12" s="608"/>
      <c r="D12" s="608"/>
      <c r="E12" s="635" t="s">
        <v>466</v>
      </c>
      <c r="F12" s="608"/>
      <c r="G12" s="636"/>
      <c r="H12" s="636"/>
      <c r="I12" s="608"/>
      <c r="J12" s="608"/>
      <c r="K12" s="608"/>
      <c r="L12" s="608"/>
      <c r="M12" s="608"/>
      <c r="N12" s="608"/>
      <c r="O12" s="608"/>
      <c r="P12" s="608"/>
      <c r="Q12" s="608"/>
      <c r="R12" s="608"/>
      <c r="S12" s="608"/>
    </row>
    <row r="13" spans="1:104" x14ac:dyDescent="0.25">
      <c r="A13" s="608"/>
      <c r="B13" s="608"/>
      <c r="C13" s="608"/>
      <c r="D13" s="608"/>
      <c r="E13" s="637"/>
      <c r="F13" s="608"/>
      <c r="G13" s="636"/>
      <c r="H13" s="636"/>
      <c r="I13" s="608"/>
      <c r="J13" s="608"/>
      <c r="K13" s="608"/>
      <c r="L13" s="633"/>
      <c r="M13" s="633"/>
      <c r="N13" s="633"/>
      <c r="O13" s="608"/>
      <c r="P13" s="608"/>
      <c r="Q13" s="608"/>
      <c r="R13" s="608"/>
      <c r="S13" s="608"/>
    </row>
    <row r="14" spans="1:104" s="608" customFormat="1" ht="30" x14ac:dyDescent="0.25">
      <c r="B14" s="638" t="s">
        <v>287</v>
      </c>
      <c r="C14" s="638" t="s">
        <v>288</v>
      </c>
      <c r="D14" s="636"/>
      <c r="E14" s="812" t="s">
        <v>102</v>
      </c>
      <c r="F14" s="813"/>
      <c r="G14" s="812" t="s">
        <v>103</v>
      </c>
      <c r="H14" s="813"/>
      <c r="I14" s="812" t="s">
        <v>124</v>
      </c>
      <c r="J14" s="814"/>
      <c r="K14" s="813"/>
      <c r="L14" s="815"/>
      <c r="M14" s="815"/>
      <c r="N14" s="815"/>
    </row>
    <row r="15" spans="1:104" s="608" customFormat="1" x14ac:dyDescent="0.25">
      <c r="B15" s="278" t="s">
        <v>104</v>
      </c>
      <c r="C15" s="244" t="s">
        <v>105</v>
      </c>
      <c r="D15" s="633"/>
      <c r="E15" s="639" t="s">
        <v>101</v>
      </c>
      <c r="F15" s="640" t="s">
        <v>106</v>
      </c>
      <c r="G15" s="639" t="s">
        <v>107</v>
      </c>
      <c r="H15" s="640" t="s">
        <v>108</v>
      </c>
      <c r="I15" s="641" t="s">
        <v>125</v>
      </c>
      <c r="J15" s="642" t="s">
        <v>126</v>
      </c>
      <c r="K15" s="643" t="s">
        <v>127</v>
      </c>
      <c r="L15" s="636"/>
      <c r="M15" s="636"/>
      <c r="N15" s="636"/>
    </row>
    <row r="16" spans="1:104" s="608" customFormat="1" x14ac:dyDescent="0.25">
      <c r="B16" s="279" t="s">
        <v>109</v>
      </c>
      <c r="C16" s="232" t="s">
        <v>105</v>
      </c>
      <c r="D16" s="633"/>
      <c r="E16" s="644" t="s">
        <v>105</v>
      </c>
      <c r="F16" s="645">
        <f t="shared" ref="F16:F21" si="0">COUNTIF($C$15:$C$34,E16)</f>
        <v>2</v>
      </c>
      <c r="G16" s="243">
        <v>50</v>
      </c>
      <c r="H16" s="244">
        <v>250</v>
      </c>
      <c r="I16" s="281">
        <v>240000</v>
      </c>
      <c r="J16" s="214">
        <v>200000</v>
      </c>
      <c r="K16" s="447">
        <f t="shared" ref="K16:K21" si="1">I16+J16</f>
        <v>440000</v>
      </c>
      <c r="L16" s="646"/>
      <c r="M16" s="646"/>
      <c r="N16" s="646"/>
    </row>
    <row r="17" spans="2:14" s="608" customFormat="1" x14ac:dyDescent="0.25">
      <c r="B17" s="279" t="s">
        <v>110</v>
      </c>
      <c r="C17" s="232" t="s">
        <v>111</v>
      </c>
      <c r="D17" s="633"/>
      <c r="E17" s="647" t="s">
        <v>111</v>
      </c>
      <c r="F17" s="648">
        <f t="shared" si="0"/>
        <v>2</v>
      </c>
      <c r="G17" s="247">
        <v>70</v>
      </c>
      <c r="H17" s="232">
        <v>250</v>
      </c>
      <c r="I17" s="281">
        <v>325000</v>
      </c>
      <c r="J17" s="214">
        <v>200000</v>
      </c>
      <c r="K17" s="447">
        <f t="shared" si="1"/>
        <v>525000</v>
      </c>
      <c r="L17" s="646"/>
      <c r="M17" s="646"/>
      <c r="N17" s="646"/>
    </row>
    <row r="18" spans="2:14" s="608" customFormat="1" x14ac:dyDescent="0.25">
      <c r="B18" s="279" t="s">
        <v>112</v>
      </c>
      <c r="C18" s="232" t="s">
        <v>111</v>
      </c>
      <c r="D18" s="633"/>
      <c r="E18" s="647" t="s">
        <v>113</v>
      </c>
      <c r="F18" s="648">
        <f t="shared" si="0"/>
        <v>2</v>
      </c>
      <c r="G18" s="247">
        <v>90</v>
      </c>
      <c r="H18" s="232">
        <v>250</v>
      </c>
      <c r="I18" s="281">
        <v>360000</v>
      </c>
      <c r="J18" s="214">
        <v>200000</v>
      </c>
      <c r="K18" s="447">
        <f t="shared" si="1"/>
        <v>560000</v>
      </c>
      <c r="L18" s="646"/>
      <c r="M18" s="646"/>
      <c r="N18" s="646"/>
    </row>
    <row r="19" spans="2:14" s="608" customFormat="1" x14ac:dyDescent="0.25">
      <c r="B19" s="279" t="s">
        <v>114</v>
      </c>
      <c r="C19" s="232" t="s">
        <v>113</v>
      </c>
      <c r="D19" s="633"/>
      <c r="E19" s="647" t="s">
        <v>115</v>
      </c>
      <c r="F19" s="648">
        <f t="shared" si="0"/>
        <v>2</v>
      </c>
      <c r="G19" s="247">
        <v>120</v>
      </c>
      <c r="H19" s="232">
        <v>250</v>
      </c>
      <c r="I19" s="281">
        <v>420000</v>
      </c>
      <c r="J19" s="214">
        <v>200000</v>
      </c>
      <c r="K19" s="447">
        <f t="shared" si="1"/>
        <v>620000</v>
      </c>
      <c r="L19" s="646"/>
      <c r="M19" s="646"/>
      <c r="N19" s="646"/>
    </row>
    <row r="20" spans="2:14" s="608" customFormat="1" x14ac:dyDescent="0.25">
      <c r="B20" s="279" t="s">
        <v>116</v>
      </c>
      <c r="C20" s="232" t="s">
        <v>113</v>
      </c>
      <c r="D20" s="633"/>
      <c r="E20" s="647" t="s">
        <v>117</v>
      </c>
      <c r="F20" s="648">
        <f t="shared" si="0"/>
        <v>2</v>
      </c>
      <c r="G20" s="247">
        <v>130</v>
      </c>
      <c r="H20" s="232">
        <v>250</v>
      </c>
      <c r="I20" s="281">
        <v>450000</v>
      </c>
      <c r="J20" s="214">
        <v>200000</v>
      </c>
      <c r="K20" s="447">
        <f t="shared" si="1"/>
        <v>650000</v>
      </c>
      <c r="L20" s="646"/>
      <c r="M20" s="646"/>
      <c r="N20" s="646"/>
    </row>
    <row r="21" spans="2:14" s="608" customFormat="1" x14ac:dyDescent="0.25">
      <c r="B21" s="279" t="s">
        <v>118</v>
      </c>
      <c r="C21" s="232" t="s">
        <v>115</v>
      </c>
      <c r="D21" s="633"/>
      <c r="E21" s="649" t="s">
        <v>119</v>
      </c>
      <c r="F21" s="650">
        <f t="shared" si="0"/>
        <v>2</v>
      </c>
      <c r="G21" s="234">
        <v>160</v>
      </c>
      <c r="H21" s="235">
        <v>250</v>
      </c>
      <c r="I21" s="282">
        <v>450000</v>
      </c>
      <c r="J21" s="283">
        <v>200000</v>
      </c>
      <c r="K21" s="651">
        <f t="shared" si="1"/>
        <v>650000</v>
      </c>
      <c r="L21" s="646"/>
      <c r="M21" s="646"/>
      <c r="N21" s="646"/>
    </row>
    <row r="22" spans="2:14" s="608" customFormat="1" x14ac:dyDescent="0.25">
      <c r="B22" s="279" t="s">
        <v>120</v>
      </c>
      <c r="C22" s="232" t="s">
        <v>115</v>
      </c>
      <c r="D22" s="633"/>
      <c r="E22" s="649" t="s">
        <v>121</v>
      </c>
      <c r="F22" s="650">
        <f>SUM(F16:F21)</f>
        <v>12</v>
      </c>
      <c r="G22" s="652">
        <f>(F16*G16)+(F17*G17)+(F18*G18)+(F19*G19)+(F20*G20)+(F21*G21)</f>
        <v>1240</v>
      </c>
      <c r="H22" s="650">
        <f>(F16*H16)+(F17*H17)+(F18*H18)+(F19*H19)+(F20*H20)+(F21*H21)</f>
        <v>3000</v>
      </c>
      <c r="I22" s="653"/>
      <c r="J22" s="654"/>
      <c r="K22" s="655"/>
      <c r="L22" s="633"/>
      <c r="M22" s="633"/>
      <c r="N22" s="633"/>
    </row>
    <row r="23" spans="2:14" s="608" customFormat="1" x14ac:dyDescent="0.25">
      <c r="B23" s="279" t="s">
        <v>122</v>
      </c>
      <c r="C23" s="232" t="s">
        <v>117</v>
      </c>
      <c r="D23" s="633"/>
      <c r="J23" s="633"/>
      <c r="K23" s="633"/>
      <c r="L23" s="633"/>
      <c r="M23" s="633"/>
      <c r="N23" s="633"/>
    </row>
    <row r="24" spans="2:14" s="608" customFormat="1" x14ac:dyDescent="0.25">
      <c r="B24" s="279" t="s">
        <v>384</v>
      </c>
      <c r="C24" s="232" t="s">
        <v>117</v>
      </c>
      <c r="D24" s="633"/>
      <c r="E24" s="633"/>
      <c r="F24" s="633"/>
      <c r="J24" s="633"/>
      <c r="K24" s="633"/>
      <c r="L24" s="633"/>
    </row>
    <row r="25" spans="2:14" s="608" customFormat="1" x14ac:dyDescent="0.25">
      <c r="B25" s="279" t="s">
        <v>385</v>
      </c>
      <c r="C25" s="232" t="s">
        <v>119</v>
      </c>
      <c r="D25" s="633"/>
      <c r="E25" s="633"/>
      <c r="F25" s="633"/>
      <c r="J25" s="633"/>
      <c r="K25" s="633"/>
      <c r="L25" s="633"/>
    </row>
    <row r="26" spans="2:14" s="608" customFormat="1" x14ac:dyDescent="0.25">
      <c r="B26" s="279" t="s">
        <v>123</v>
      </c>
      <c r="C26" s="232" t="s">
        <v>119</v>
      </c>
      <c r="D26" s="633"/>
      <c r="E26" s="633"/>
      <c r="F26" s="633"/>
      <c r="J26" s="633"/>
      <c r="K26" s="633"/>
      <c r="L26" s="633"/>
    </row>
    <row r="27" spans="2:14" s="608" customFormat="1" x14ac:dyDescent="0.25">
      <c r="B27" s="279"/>
      <c r="C27" s="232"/>
      <c r="D27" s="633"/>
      <c r="E27" s="633"/>
      <c r="F27" s="633"/>
      <c r="J27" s="633"/>
      <c r="K27" s="633"/>
      <c r="L27" s="633"/>
    </row>
    <row r="28" spans="2:14" s="608" customFormat="1" x14ac:dyDescent="0.25">
      <c r="B28" s="279"/>
      <c r="C28" s="232"/>
      <c r="D28" s="633"/>
      <c r="E28" s="633"/>
      <c r="F28" s="633"/>
      <c r="J28" s="633"/>
      <c r="K28" s="633"/>
      <c r="L28" s="633"/>
    </row>
    <row r="29" spans="2:14" s="608" customFormat="1" x14ac:dyDescent="0.25">
      <c r="B29" s="279"/>
      <c r="C29" s="232"/>
      <c r="D29" s="633"/>
      <c r="E29" s="633"/>
      <c r="F29" s="633"/>
      <c r="J29" s="633"/>
      <c r="K29" s="633"/>
      <c r="L29" s="633"/>
    </row>
    <row r="30" spans="2:14" s="608" customFormat="1" x14ac:dyDescent="0.25">
      <c r="B30" s="279"/>
      <c r="C30" s="232"/>
      <c r="D30" s="633"/>
      <c r="E30" s="633"/>
      <c r="F30" s="633"/>
      <c r="H30" s="633"/>
      <c r="I30" s="633"/>
      <c r="J30" s="633"/>
      <c r="K30" s="633"/>
      <c r="L30" s="633"/>
    </row>
    <row r="31" spans="2:14" s="608" customFormat="1" x14ac:dyDescent="0.25">
      <c r="B31" s="279"/>
      <c r="C31" s="232"/>
      <c r="D31" s="633"/>
      <c r="E31" s="633"/>
      <c r="F31" s="633"/>
      <c r="H31" s="633"/>
      <c r="I31" s="633"/>
      <c r="J31" s="633"/>
      <c r="K31" s="633"/>
      <c r="L31" s="633"/>
    </row>
    <row r="32" spans="2:14" s="608" customFormat="1" x14ac:dyDescent="0.25">
      <c r="B32" s="279"/>
      <c r="C32" s="232"/>
      <c r="D32" s="633"/>
      <c r="E32" s="633"/>
      <c r="F32" s="633"/>
      <c r="H32" s="633"/>
      <c r="I32" s="633"/>
      <c r="J32" s="633"/>
      <c r="K32" s="633"/>
      <c r="L32" s="633"/>
    </row>
    <row r="33" spans="1:19" s="608" customFormat="1" x14ac:dyDescent="0.25">
      <c r="B33" s="279"/>
      <c r="C33" s="232"/>
      <c r="D33" s="633"/>
      <c r="E33" s="633"/>
      <c r="F33" s="633"/>
      <c r="H33" s="633"/>
      <c r="I33" s="633"/>
      <c r="J33" s="633"/>
      <c r="K33" s="633"/>
      <c r="L33" s="633"/>
    </row>
    <row r="34" spans="1:19" s="608" customFormat="1" x14ac:dyDescent="0.25">
      <c r="B34" s="280"/>
      <c r="C34" s="235"/>
      <c r="D34" s="633"/>
      <c r="E34" s="633"/>
      <c r="F34" s="633"/>
      <c r="H34" s="633"/>
      <c r="I34" s="633"/>
      <c r="J34" s="633"/>
      <c r="K34" s="633"/>
      <c r="L34" s="633"/>
    </row>
    <row r="35" spans="1:19" s="608" customFormat="1" x14ac:dyDescent="0.25">
      <c r="B35" s="637"/>
      <c r="D35" s="636"/>
      <c r="E35" s="636"/>
      <c r="F35" s="636"/>
      <c r="H35" s="633"/>
      <c r="I35" s="633"/>
      <c r="J35" s="633"/>
      <c r="K35" s="633"/>
      <c r="L35" s="633"/>
    </row>
    <row r="36" spans="1:19" x14ac:dyDescent="0.25">
      <c r="A36" s="608"/>
      <c r="B36" s="635" t="s">
        <v>430</v>
      </c>
      <c r="C36" s="637"/>
      <c r="D36" s="637"/>
      <c r="E36" s="637"/>
      <c r="F36" s="656"/>
      <c r="G36" s="656"/>
      <c r="H36" s="656"/>
      <c r="I36" s="656"/>
      <c r="J36" s="646"/>
      <c r="K36" s="646"/>
      <c r="L36" s="646"/>
      <c r="M36" s="656"/>
      <c r="N36" s="608"/>
      <c r="O36" s="608"/>
      <c r="P36" s="608"/>
      <c r="Q36" s="608"/>
      <c r="R36" s="608"/>
      <c r="S36" s="608"/>
    </row>
    <row r="37" spans="1:19" x14ac:dyDescent="0.25">
      <c r="A37" s="608"/>
      <c r="B37" s="637"/>
      <c r="C37" s="637"/>
      <c r="D37" s="637"/>
      <c r="E37" s="637"/>
      <c r="F37" s="656"/>
      <c r="G37" s="656"/>
      <c r="H37" s="656"/>
      <c r="I37" s="656"/>
      <c r="J37" s="646"/>
      <c r="K37" s="646"/>
      <c r="L37" s="646"/>
      <c r="M37" s="656"/>
      <c r="N37" s="608"/>
      <c r="O37" s="608"/>
      <c r="P37" s="608"/>
      <c r="Q37" s="608"/>
      <c r="R37" s="608"/>
      <c r="S37" s="608"/>
    </row>
    <row r="38" spans="1:19" x14ac:dyDescent="0.25">
      <c r="A38" s="608"/>
      <c r="B38" s="816" t="s">
        <v>26</v>
      </c>
      <c r="C38" s="817"/>
      <c r="D38" s="817"/>
      <c r="E38" s="817"/>
      <c r="F38" s="818"/>
      <c r="G38" s="656"/>
      <c r="H38" s="656"/>
      <c r="I38" s="656"/>
      <c r="J38" s="646"/>
      <c r="K38" s="646"/>
      <c r="L38" s="646"/>
      <c r="M38" s="656"/>
      <c r="N38" s="608"/>
      <c r="O38" s="608"/>
      <c r="P38" s="608"/>
      <c r="Q38" s="608"/>
      <c r="R38" s="608"/>
      <c r="S38" s="608"/>
    </row>
    <row r="39" spans="1:19" x14ac:dyDescent="0.25">
      <c r="A39" s="608"/>
      <c r="B39" s="657" t="str">
        <f t="shared" ref="B39:C45" si="2">E15</f>
        <v xml:space="preserve">Typology </v>
      </c>
      <c r="C39" s="642" t="str">
        <f t="shared" si="2"/>
        <v xml:space="preserve">Number </v>
      </c>
      <c r="D39" s="642" t="s">
        <v>130</v>
      </c>
      <c r="E39" s="642" t="s">
        <v>128</v>
      </c>
      <c r="F39" s="643" t="s">
        <v>131</v>
      </c>
      <c r="G39" s="656"/>
      <c r="H39" s="656"/>
      <c r="I39" s="656"/>
      <c r="J39" s="646"/>
      <c r="K39" s="646"/>
      <c r="L39" s="646"/>
      <c r="M39" s="656"/>
      <c r="N39" s="608"/>
      <c r="O39" s="608"/>
      <c r="P39" s="608"/>
      <c r="Q39" s="608"/>
      <c r="R39" s="608"/>
      <c r="S39" s="608"/>
    </row>
    <row r="40" spans="1:19" x14ac:dyDescent="0.25">
      <c r="A40" s="608"/>
      <c r="B40" s="658" t="str">
        <f t="shared" si="2"/>
        <v>1 Bed</v>
      </c>
      <c r="C40" s="636">
        <f t="shared" si="2"/>
        <v>2</v>
      </c>
      <c r="D40" s="214">
        <v>2500</v>
      </c>
      <c r="E40" s="646">
        <f t="shared" ref="E40:E45" si="3">D40*G16</f>
        <v>125000</v>
      </c>
      <c r="F40" s="447">
        <f t="shared" ref="F40:F45" si="4">E40*C40</f>
        <v>250000</v>
      </c>
      <c r="G40" s="656"/>
      <c r="H40" s="656"/>
      <c r="I40" s="656"/>
      <c r="J40" s="646"/>
      <c r="K40" s="646"/>
      <c r="L40" s="646"/>
      <c r="M40" s="656"/>
      <c r="N40" s="608"/>
      <c r="O40" s="608"/>
      <c r="P40" s="608"/>
      <c r="Q40" s="608"/>
      <c r="R40" s="608"/>
      <c r="S40" s="608"/>
    </row>
    <row r="41" spans="1:19" x14ac:dyDescent="0.25">
      <c r="A41" s="608"/>
      <c r="B41" s="658" t="str">
        <f t="shared" si="2"/>
        <v>2 Bed</v>
      </c>
      <c r="C41" s="636">
        <f t="shared" si="2"/>
        <v>2</v>
      </c>
      <c r="D41" s="214">
        <v>2500</v>
      </c>
      <c r="E41" s="646">
        <f t="shared" si="3"/>
        <v>175000</v>
      </c>
      <c r="F41" s="447">
        <f t="shared" si="4"/>
        <v>350000</v>
      </c>
      <c r="G41" s="656"/>
      <c r="H41" s="656"/>
      <c r="I41" s="656"/>
      <c r="J41" s="656"/>
      <c r="K41" s="656"/>
      <c r="L41" s="656"/>
      <c r="M41" s="656"/>
      <c r="N41" s="608"/>
      <c r="O41" s="608"/>
      <c r="P41" s="608"/>
      <c r="Q41" s="608"/>
      <c r="R41" s="608"/>
      <c r="S41" s="608"/>
    </row>
    <row r="42" spans="1:19" x14ac:dyDescent="0.25">
      <c r="A42" s="608"/>
      <c r="B42" s="658" t="str">
        <f t="shared" si="2"/>
        <v>3 Bed</v>
      </c>
      <c r="C42" s="636">
        <f t="shared" si="2"/>
        <v>2</v>
      </c>
      <c r="D42" s="214">
        <v>2500</v>
      </c>
      <c r="E42" s="646">
        <f t="shared" si="3"/>
        <v>225000</v>
      </c>
      <c r="F42" s="447">
        <f t="shared" si="4"/>
        <v>450000</v>
      </c>
      <c r="G42" s="656"/>
      <c r="H42" s="656"/>
      <c r="I42" s="656"/>
      <c r="J42" s="656"/>
      <c r="K42" s="656"/>
      <c r="L42" s="656"/>
      <c r="M42" s="656"/>
      <c r="N42" s="608"/>
      <c r="O42" s="608"/>
      <c r="P42" s="608"/>
      <c r="Q42" s="608"/>
      <c r="R42" s="608"/>
      <c r="S42" s="608"/>
    </row>
    <row r="43" spans="1:19" x14ac:dyDescent="0.25">
      <c r="A43" s="608"/>
      <c r="B43" s="658" t="str">
        <f t="shared" si="2"/>
        <v>4 Bed</v>
      </c>
      <c r="C43" s="636">
        <f t="shared" si="2"/>
        <v>2</v>
      </c>
      <c r="D43" s="214">
        <v>2500</v>
      </c>
      <c r="E43" s="646">
        <f t="shared" si="3"/>
        <v>300000</v>
      </c>
      <c r="F43" s="447">
        <f t="shared" si="4"/>
        <v>600000</v>
      </c>
      <c r="G43" s="656"/>
      <c r="H43" s="656"/>
      <c r="I43" s="656"/>
      <c r="J43" s="656"/>
      <c r="K43" s="656"/>
      <c r="L43" s="656"/>
      <c r="M43" s="656"/>
      <c r="N43" s="608"/>
      <c r="O43" s="608"/>
      <c r="P43" s="608"/>
      <c r="Q43" s="608"/>
      <c r="R43" s="608"/>
      <c r="S43" s="608"/>
    </row>
    <row r="44" spans="1:19" x14ac:dyDescent="0.25">
      <c r="A44" s="608"/>
      <c r="B44" s="658" t="str">
        <f t="shared" si="2"/>
        <v>5 Bed</v>
      </c>
      <c r="C44" s="636">
        <f t="shared" si="2"/>
        <v>2</v>
      </c>
      <c r="D44" s="214">
        <v>2500</v>
      </c>
      <c r="E44" s="646">
        <f t="shared" si="3"/>
        <v>325000</v>
      </c>
      <c r="F44" s="447">
        <f t="shared" si="4"/>
        <v>650000</v>
      </c>
      <c r="G44" s="656"/>
      <c r="H44" s="656"/>
      <c r="I44" s="656"/>
      <c r="J44" s="656"/>
      <c r="K44" s="656"/>
      <c r="L44" s="656"/>
      <c r="M44" s="656"/>
      <c r="N44" s="608"/>
      <c r="O44" s="608"/>
      <c r="P44" s="608"/>
      <c r="Q44" s="608"/>
      <c r="R44" s="608"/>
      <c r="S44" s="608"/>
    </row>
    <row r="45" spans="1:19" x14ac:dyDescent="0.25">
      <c r="A45" s="608"/>
      <c r="B45" s="658" t="str">
        <f t="shared" si="2"/>
        <v>6 Bed</v>
      </c>
      <c r="C45" s="636">
        <f t="shared" si="2"/>
        <v>2</v>
      </c>
      <c r="D45" s="214">
        <v>2500</v>
      </c>
      <c r="E45" s="646">
        <f t="shared" si="3"/>
        <v>400000</v>
      </c>
      <c r="F45" s="447">
        <f t="shared" si="4"/>
        <v>800000</v>
      </c>
      <c r="G45" s="656"/>
      <c r="H45" s="656"/>
      <c r="I45" s="656"/>
      <c r="J45" s="656"/>
      <c r="K45" s="656"/>
      <c r="L45" s="656"/>
      <c r="M45" s="656"/>
      <c r="N45" s="608"/>
      <c r="O45" s="608"/>
      <c r="P45" s="608"/>
      <c r="Q45" s="608"/>
      <c r="R45" s="608"/>
      <c r="S45" s="608"/>
    </row>
    <row r="46" spans="1:19" x14ac:dyDescent="0.25">
      <c r="A46" s="608"/>
      <c r="B46" s="659" t="s">
        <v>132</v>
      </c>
      <c r="C46" s="660"/>
      <c r="D46" s="661"/>
      <c r="E46" s="316">
        <v>0.15</v>
      </c>
      <c r="F46" s="317">
        <f>SUM($F$40:$F$45)*E46</f>
        <v>465000</v>
      </c>
      <c r="G46" s="656"/>
      <c r="H46" s="656"/>
      <c r="I46" s="656"/>
      <c r="J46" s="656"/>
      <c r="K46" s="656"/>
      <c r="L46" s="656"/>
      <c r="M46" s="656"/>
      <c r="N46" s="608"/>
      <c r="O46" s="608"/>
      <c r="P46" s="608"/>
      <c r="Q46" s="608"/>
      <c r="R46" s="608"/>
      <c r="S46" s="608"/>
    </row>
    <row r="47" spans="1:19" x14ac:dyDescent="0.25">
      <c r="A47" s="608"/>
      <c r="B47" s="649"/>
      <c r="C47" s="652"/>
      <c r="D47" s="662"/>
      <c r="E47" s="662"/>
      <c r="F47" s="663">
        <f>SUM($F$40:$F$46)</f>
        <v>3565000</v>
      </c>
      <c r="G47" s="656"/>
      <c r="H47" s="656"/>
      <c r="I47" s="656"/>
      <c r="J47" s="656"/>
      <c r="K47" s="656"/>
      <c r="L47" s="656"/>
      <c r="M47" s="656"/>
      <c r="N47" s="608"/>
      <c r="O47" s="608"/>
      <c r="P47" s="608"/>
      <c r="Q47" s="608"/>
      <c r="R47" s="608"/>
      <c r="S47" s="608"/>
    </row>
    <row r="48" spans="1:19" x14ac:dyDescent="0.25">
      <c r="A48" s="608"/>
      <c r="B48" s="637"/>
      <c r="C48" s="637"/>
      <c r="D48" s="637"/>
      <c r="E48" s="637"/>
      <c r="F48" s="656"/>
      <c r="G48" s="656"/>
      <c r="H48" s="656"/>
      <c r="I48" s="656"/>
      <c r="J48" s="656"/>
      <c r="K48" s="656"/>
      <c r="L48" s="656"/>
      <c r="M48" s="656"/>
      <c r="N48" s="608"/>
      <c r="O48" s="608"/>
      <c r="P48" s="608"/>
      <c r="Q48" s="608"/>
      <c r="R48" s="608"/>
      <c r="S48" s="608"/>
    </row>
    <row r="49" spans="1:19" x14ac:dyDescent="0.25">
      <c r="A49" s="608"/>
      <c r="B49" s="635" t="s">
        <v>431</v>
      </c>
      <c r="C49" s="637"/>
      <c r="D49" s="637"/>
      <c r="E49" s="637"/>
      <c r="F49" s="656"/>
      <c r="G49" s="656"/>
      <c r="H49" s="656"/>
      <c r="I49" s="656"/>
      <c r="J49" s="656"/>
      <c r="K49" s="656"/>
      <c r="L49" s="656"/>
      <c r="M49" s="656"/>
      <c r="N49" s="608"/>
      <c r="O49" s="608"/>
      <c r="P49" s="608"/>
      <c r="Q49" s="608"/>
      <c r="R49" s="608"/>
      <c r="S49" s="608"/>
    </row>
    <row r="50" spans="1:19" x14ac:dyDescent="0.25">
      <c r="A50" s="608"/>
      <c r="B50" s="637"/>
      <c r="C50" s="637"/>
      <c r="D50" s="637"/>
      <c r="E50" s="637"/>
      <c r="F50" s="656"/>
      <c r="G50" s="656"/>
      <c r="H50" s="656"/>
      <c r="I50" s="656"/>
      <c r="J50" s="656"/>
      <c r="K50" s="656"/>
      <c r="L50" s="656"/>
      <c r="M50" s="656"/>
      <c r="N50" s="608"/>
      <c r="O50" s="608"/>
      <c r="P50" s="608"/>
      <c r="Q50" s="608"/>
      <c r="R50" s="608"/>
      <c r="S50" s="608"/>
    </row>
    <row r="51" spans="1:19" x14ac:dyDescent="0.25">
      <c r="A51" s="608"/>
      <c r="B51" s="664"/>
      <c r="C51" s="665" t="s">
        <v>133</v>
      </c>
      <c r="D51" s="665" t="s">
        <v>134</v>
      </c>
      <c r="E51" s="665" t="s">
        <v>135</v>
      </c>
      <c r="F51" s="666" t="s">
        <v>129</v>
      </c>
      <c r="G51" s="667"/>
      <c r="H51" s="608"/>
      <c r="I51" s="608"/>
      <c r="J51" s="608"/>
      <c r="K51" s="608"/>
      <c r="L51" s="668"/>
      <c r="M51" s="668"/>
      <c r="N51" s="608"/>
      <c r="O51" s="608"/>
      <c r="P51" s="608"/>
      <c r="Q51" s="608"/>
      <c r="R51" s="608"/>
      <c r="S51" s="608"/>
    </row>
    <row r="52" spans="1:19" x14ac:dyDescent="0.25">
      <c r="A52" s="608"/>
      <c r="B52" s="669" t="s">
        <v>136</v>
      </c>
      <c r="C52" s="667"/>
      <c r="D52" s="667"/>
      <c r="E52" s="667"/>
      <c r="F52" s="670"/>
      <c r="G52" s="667"/>
      <c r="H52" s="608"/>
      <c r="I52" s="608"/>
      <c r="J52" s="608"/>
      <c r="K52" s="608"/>
      <c r="L52" s="668"/>
      <c r="M52" s="668"/>
      <c r="N52" s="608"/>
      <c r="O52" s="608"/>
      <c r="P52" s="608"/>
      <c r="Q52" s="608"/>
      <c r="R52" s="608"/>
      <c r="S52" s="608"/>
    </row>
    <row r="53" spans="1:19" ht="19.5" x14ac:dyDescent="0.55000000000000004">
      <c r="A53" s="608"/>
      <c r="B53" s="671" t="s">
        <v>137</v>
      </c>
      <c r="C53" s="672"/>
      <c r="D53" s="673"/>
      <c r="E53" s="673"/>
      <c r="F53" s="674"/>
      <c r="G53" s="608"/>
      <c r="H53" s="608"/>
      <c r="I53" s="608"/>
      <c r="J53" s="608"/>
      <c r="K53" s="608"/>
      <c r="L53" s="675"/>
      <c r="M53" s="23"/>
      <c r="N53" s="608"/>
      <c r="O53" s="608"/>
      <c r="P53" s="608"/>
      <c r="Q53" s="608"/>
      <c r="R53" s="608"/>
      <c r="S53" s="608"/>
    </row>
    <row r="54" spans="1:19" x14ac:dyDescent="0.25">
      <c r="A54" s="608"/>
      <c r="B54" s="676" t="s">
        <v>138</v>
      </c>
      <c r="C54" s="24"/>
      <c r="D54" s="25">
        <v>1000000</v>
      </c>
      <c r="E54" s="24">
        <v>1</v>
      </c>
      <c r="F54" s="26">
        <f>$D$54*$E$54</f>
        <v>1000000</v>
      </c>
      <c r="G54" s="27"/>
      <c r="H54" s="608"/>
      <c r="I54" s="608"/>
      <c r="J54" s="608"/>
      <c r="K54" s="608"/>
      <c r="L54" s="677"/>
      <c r="M54" s="28"/>
      <c r="N54" s="608"/>
      <c r="O54" s="608"/>
      <c r="P54" s="608"/>
      <c r="Q54" s="608"/>
      <c r="R54" s="608"/>
      <c r="S54" s="608"/>
    </row>
    <row r="55" spans="1:19" x14ac:dyDescent="0.25">
      <c r="A55" s="608"/>
      <c r="B55" s="676" t="s">
        <v>139</v>
      </c>
      <c r="C55" s="24"/>
      <c r="D55" s="25">
        <v>10000</v>
      </c>
      <c r="E55" s="24">
        <v>1</v>
      </c>
      <c r="F55" s="26">
        <f>$D$55*$E$55</f>
        <v>10000</v>
      </c>
      <c r="G55" s="27"/>
      <c r="H55" s="608"/>
      <c r="I55" s="608"/>
      <c r="J55" s="608"/>
      <c r="K55" s="608"/>
      <c r="L55" s="677"/>
      <c r="M55" s="28"/>
      <c r="N55" s="608"/>
      <c r="O55" s="608"/>
      <c r="P55" s="608"/>
      <c r="Q55" s="608"/>
      <c r="R55" s="608"/>
      <c r="S55" s="608"/>
    </row>
    <row r="56" spans="1:19" ht="16.5" x14ac:dyDescent="0.35">
      <c r="A56" s="608"/>
      <c r="B56" s="678" t="s">
        <v>140</v>
      </c>
      <c r="C56" s="608"/>
      <c r="D56" s="656"/>
      <c r="E56" s="637"/>
      <c r="F56" s="29">
        <f>F54+$F$55</f>
        <v>1010000</v>
      </c>
      <c r="G56" s="30"/>
      <c r="H56" s="608"/>
      <c r="I56" s="608"/>
      <c r="J56" s="608"/>
      <c r="K56" s="608"/>
      <c r="L56" s="677"/>
      <c r="M56" s="679"/>
      <c r="N56" s="608"/>
      <c r="O56" s="608"/>
      <c r="P56" s="608"/>
      <c r="Q56" s="608"/>
      <c r="R56" s="608"/>
      <c r="S56" s="608"/>
    </row>
    <row r="57" spans="1:19" ht="17.25" x14ac:dyDescent="0.4">
      <c r="A57" s="608"/>
      <c r="B57" s="680" t="s">
        <v>141</v>
      </c>
      <c r="C57" s="681"/>
      <c r="D57" s="682"/>
      <c r="E57" s="683"/>
      <c r="F57" s="684"/>
      <c r="G57" s="31"/>
      <c r="H57" s="608"/>
      <c r="I57" s="608"/>
      <c r="J57" s="608"/>
      <c r="K57" s="608"/>
      <c r="L57" s="677"/>
      <c r="M57" s="679"/>
      <c r="N57" s="608"/>
      <c r="O57" s="608"/>
      <c r="P57" s="608"/>
      <c r="Q57" s="608"/>
      <c r="R57" s="608"/>
      <c r="S57" s="608"/>
    </row>
    <row r="58" spans="1:19" x14ac:dyDescent="0.25">
      <c r="A58" s="608"/>
      <c r="B58" s="676" t="s">
        <v>142</v>
      </c>
      <c r="C58" s="199"/>
      <c r="D58" s="25">
        <v>50000</v>
      </c>
      <c r="E58" s="199">
        <v>1</v>
      </c>
      <c r="F58" s="26">
        <f t="shared" ref="F58:F69" si="5">$D58*$E58</f>
        <v>50000</v>
      </c>
      <c r="G58" s="31"/>
      <c r="H58" s="608"/>
      <c r="I58" s="608"/>
      <c r="J58" s="608"/>
      <c r="K58" s="608"/>
      <c r="L58" s="608"/>
      <c r="M58" s="28"/>
      <c r="N58" s="608"/>
      <c r="O58" s="608"/>
      <c r="P58" s="608"/>
      <c r="Q58" s="608"/>
      <c r="R58" s="608"/>
      <c r="S58" s="608"/>
    </row>
    <row r="59" spans="1:19" x14ac:dyDescent="0.25">
      <c r="A59" s="608"/>
      <c r="B59" s="676" t="s">
        <v>143</v>
      </c>
      <c r="C59" s="199"/>
      <c r="D59" s="25">
        <v>10000</v>
      </c>
      <c r="E59" s="199">
        <v>1</v>
      </c>
      <c r="F59" s="26">
        <f t="shared" si="5"/>
        <v>10000</v>
      </c>
      <c r="G59" s="31"/>
      <c r="H59" s="608"/>
      <c r="I59" s="685"/>
      <c r="J59" s="686"/>
      <c r="K59" s="677"/>
      <c r="L59" s="608"/>
      <c r="M59" s="28"/>
      <c r="N59" s="608"/>
      <c r="O59" s="608"/>
      <c r="P59" s="608"/>
      <c r="Q59" s="608"/>
      <c r="R59" s="608"/>
      <c r="S59" s="608"/>
    </row>
    <row r="60" spans="1:19" x14ac:dyDescent="0.25">
      <c r="A60" s="608"/>
      <c r="B60" s="676" t="s">
        <v>144</v>
      </c>
      <c r="C60" s="199"/>
      <c r="D60" s="25">
        <v>50000</v>
      </c>
      <c r="E60" s="199">
        <v>1</v>
      </c>
      <c r="F60" s="26">
        <f t="shared" si="5"/>
        <v>50000</v>
      </c>
      <c r="G60" s="31"/>
      <c r="H60" s="608"/>
      <c r="I60" s="685"/>
      <c r="J60" s="686"/>
      <c r="K60" s="677"/>
      <c r="L60" s="608"/>
      <c r="M60" s="28"/>
      <c r="N60" s="608"/>
      <c r="O60" s="608"/>
      <c r="P60" s="608"/>
      <c r="Q60" s="608"/>
      <c r="R60" s="608"/>
      <c r="S60" s="608"/>
    </row>
    <row r="61" spans="1:19" x14ac:dyDescent="0.25">
      <c r="A61" s="608"/>
      <c r="B61" s="676" t="s">
        <v>145</v>
      </c>
      <c r="C61" s="199"/>
      <c r="D61" s="25">
        <v>10000</v>
      </c>
      <c r="E61" s="199">
        <v>1</v>
      </c>
      <c r="F61" s="26">
        <f t="shared" si="5"/>
        <v>10000</v>
      </c>
      <c r="G61" s="31"/>
      <c r="H61" s="608"/>
      <c r="I61" s="685"/>
      <c r="J61" s="686"/>
      <c r="K61" s="677"/>
      <c r="L61" s="608"/>
      <c r="M61" s="28"/>
      <c r="N61" s="608"/>
      <c r="O61" s="608"/>
      <c r="P61" s="608"/>
      <c r="Q61" s="608"/>
      <c r="R61" s="608"/>
      <c r="S61" s="608"/>
    </row>
    <row r="62" spans="1:19" x14ac:dyDescent="0.25">
      <c r="A62" s="608"/>
      <c r="B62" s="676" t="s">
        <v>146</v>
      </c>
      <c r="C62" s="199"/>
      <c r="D62" s="25">
        <v>50000</v>
      </c>
      <c r="E62" s="199">
        <v>1</v>
      </c>
      <c r="F62" s="26">
        <f t="shared" si="5"/>
        <v>50000</v>
      </c>
      <c r="G62" s="31"/>
      <c r="H62" s="608"/>
      <c r="I62" s="685"/>
      <c r="J62" s="686"/>
      <c r="K62" s="677"/>
      <c r="L62" s="608"/>
      <c r="M62" s="28"/>
      <c r="N62" s="608"/>
      <c r="O62" s="608"/>
      <c r="P62" s="608"/>
      <c r="Q62" s="608"/>
      <c r="R62" s="608"/>
      <c r="S62" s="608"/>
    </row>
    <row r="63" spans="1:19" x14ac:dyDescent="0.25">
      <c r="A63" s="608"/>
      <c r="B63" s="676" t="s">
        <v>147</v>
      </c>
      <c r="C63" s="199"/>
      <c r="D63" s="25">
        <v>50000</v>
      </c>
      <c r="E63" s="199">
        <v>1</v>
      </c>
      <c r="F63" s="26">
        <f t="shared" si="5"/>
        <v>50000</v>
      </c>
      <c r="G63" s="31"/>
      <c r="H63" s="608"/>
      <c r="I63" s="685"/>
      <c r="J63" s="686"/>
      <c r="K63" s="677"/>
      <c r="L63" s="608"/>
      <c r="M63" s="28"/>
      <c r="N63" s="608"/>
      <c r="O63" s="608"/>
      <c r="P63" s="608"/>
      <c r="Q63" s="608"/>
      <c r="R63" s="608"/>
      <c r="S63" s="608"/>
    </row>
    <row r="64" spans="1:19" x14ac:dyDescent="0.25">
      <c r="A64" s="608"/>
      <c r="B64" s="676" t="s">
        <v>148</v>
      </c>
      <c r="C64" s="199"/>
      <c r="D64" s="25">
        <v>10000</v>
      </c>
      <c r="E64" s="199">
        <v>1</v>
      </c>
      <c r="F64" s="26">
        <f t="shared" si="5"/>
        <v>10000</v>
      </c>
      <c r="G64" s="31"/>
      <c r="H64" s="608"/>
      <c r="I64" s="685"/>
      <c r="J64" s="686"/>
      <c r="K64" s="677"/>
      <c r="L64" s="608"/>
      <c r="M64" s="28"/>
      <c r="N64" s="608"/>
      <c r="O64" s="608"/>
      <c r="P64" s="608"/>
      <c r="Q64" s="608"/>
      <c r="R64" s="608"/>
      <c r="S64" s="608"/>
    </row>
    <row r="65" spans="1:19" x14ac:dyDescent="0.25">
      <c r="A65" s="608"/>
      <c r="B65" s="676" t="s">
        <v>149</v>
      </c>
      <c r="C65" s="199"/>
      <c r="D65" s="25">
        <v>50000</v>
      </c>
      <c r="E65" s="199">
        <v>1</v>
      </c>
      <c r="F65" s="26">
        <f t="shared" si="5"/>
        <v>50000</v>
      </c>
      <c r="G65" s="31"/>
      <c r="H65" s="608"/>
      <c r="I65" s="685"/>
      <c r="J65" s="686"/>
      <c r="K65" s="677"/>
      <c r="L65" s="608"/>
      <c r="M65" s="28"/>
      <c r="N65" s="608"/>
      <c r="O65" s="608"/>
      <c r="P65" s="608"/>
      <c r="Q65" s="608"/>
      <c r="R65" s="608"/>
      <c r="S65" s="608"/>
    </row>
    <row r="66" spans="1:19" x14ac:dyDescent="0.25">
      <c r="A66" s="608"/>
      <c r="B66" s="676" t="s">
        <v>150</v>
      </c>
      <c r="C66" s="199"/>
      <c r="D66" s="25">
        <v>10000</v>
      </c>
      <c r="E66" s="199">
        <v>1</v>
      </c>
      <c r="F66" s="26">
        <f t="shared" si="5"/>
        <v>10000</v>
      </c>
      <c r="G66" s="31"/>
      <c r="H66" s="608"/>
      <c r="I66" s="685"/>
      <c r="J66" s="686"/>
      <c r="K66" s="677"/>
      <c r="L66" s="608"/>
      <c r="M66" s="28"/>
      <c r="N66" s="608"/>
      <c r="O66" s="608"/>
      <c r="P66" s="608"/>
      <c r="Q66" s="608"/>
      <c r="R66" s="608"/>
      <c r="S66" s="608"/>
    </row>
    <row r="67" spans="1:19" x14ac:dyDescent="0.25">
      <c r="A67" s="608"/>
      <c r="B67" s="676" t="s">
        <v>151</v>
      </c>
      <c r="C67" s="199"/>
      <c r="D67" s="25">
        <v>10000</v>
      </c>
      <c r="E67" s="199">
        <v>1</v>
      </c>
      <c r="F67" s="26">
        <f t="shared" si="5"/>
        <v>10000</v>
      </c>
      <c r="G67" s="31"/>
      <c r="H67" s="608"/>
      <c r="I67" s="685"/>
      <c r="J67" s="686"/>
      <c r="K67" s="677"/>
      <c r="L67" s="608"/>
      <c r="M67" s="28"/>
      <c r="N67" s="608"/>
      <c r="O67" s="608"/>
      <c r="P67" s="608"/>
      <c r="Q67" s="608"/>
      <c r="R67" s="608"/>
      <c r="S67" s="608"/>
    </row>
    <row r="68" spans="1:19" x14ac:dyDescent="0.25">
      <c r="A68" s="608"/>
      <c r="B68" s="676" t="s">
        <v>285</v>
      </c>
      <c r="C68" s="199"/>
      <c r="D68" s="25"/>
      <c r="E68" s="199"/>
      <c r="F68" s="26">
        <f t="shared" si="5"/>
        <v>0</v>
      </c>
      <c r="G68" s="31"/>
      <c r="H68" s="608"/>
      <c r="I68" s="685"/>
      <c r="J68" s="686"/>
      <c r="K68" s="677"/>
      <c r="L68" s="608"/>
      <c r="M68" s="28"/>
      <c r="N68" s="608"/>
      <c r="O68" s="608"/>
      <c r="P68" s="608"/>
      <c r="Q68" s="608"/>
      <c r="R68" s="608"/>
      <c r="S68" s="608"/>
    </row>
    <row r="69" spans="1:19" x14ac:dyDescent="0.25">
      <c r="A69" s="608"/>
      <c r="B69" s="676" t="s">
        <v>285</v>
      </c>
      <c r="C69" s="199"/>
      <c r="D69" s="25"/>
      <c r="E69" s="199"/>
      <c r="F69" s="26">
        <f t="shared" si="5"/>
        <v>0</v>
      </c>
      <c r="G69" s="31"/>
      <c r="H69" s="608"/>
      <c r="I69" s="685"/>
      <c r="J69" s="686"/>
      <c r="K69" s="677"/>
      <c r="L69" s="608"/>
      <c r="M69" s="28"/>
      <c r="N69" s="608"/>
      <c r="O69" s="608"/>
      <c r="P69" s="608"/>
      <c r="Q69" s="608"/>
      <c r="R69" s="608"/>
      <c r="S69" s="608"/>
    </row>
    <row r="70" spans="1:19" x14ac:dyDescent="0.25">
      <c r="A70" s="608"/>
      <c r="B70" s="676" t="s">
        <v>289</v>
      </c>
      <c r="C70" s="672"/>
      <c r="D70" s="59"/>
      <c r="E70" s="315">
        <v>0.2</v>
      </c>
      <c r="F70" s="26">
        <f>SUM($F$58:$F$69)*E70</f>
        <v>60000</v>
      </c>
      <c r="G70" s="31"/>
      <c r="H70" s="608"/>
      <c r="I70" s="685"/>
      <c r="J70" s="686"/>
      <c r="K70" s="677"/>
      <c r="L70" s="608"/>
      <c r="M70" s="28"/>
      <c r="N70" s="608"/>
      <c r="O70" s="608"/>
      <c r="P70" s="608"/>
      <c r="Q70" s="608"/>
      <c r="R70" s="608"/>
      <c r="S70" s="608"/>
    </row>
    <row r="71" spans="1:19" x14ac:dyDescent="0.25">
      <c r="A71" s="608"/>
      <c r="B71" s="678" t="s">
        <v>152</v>
      </c>
      <c r="C71" s="687"/>
      <c r="D71" s="688"/>
      <c r="E71" s="689"/>
      <c r="F71" s="33">
        <f>SUM($F$58:$F$70)</f>
        <v>360000</v>
      </c>
      <c r="G71" s="30"/>
      <c r="H71" s="608"/>
      <c r="I71" s="690"/>
      <c r="J71" s="691"/>
      <c r="K71" s="675"/>
      <c r="L71" s="692"/>
      <c r="M71" s="693"/>
      <c r="N71" s="608"/>
      <c r="O71" s="608"/>
      <c r="P71" s="608"/>
      <c r="Q71" s="608"/>
      <c r="R71" s="608"/>
      <c r="S71" s="608"/>
    </row>
    <row r="72" spans="1:19" x14ac:dyDescent="0.25">
      <c r="A72" s="608"/>
      <c r="B72" s="680" t="s">
        <v>29</v>
      </c>
      <c r="C72" s="694"/>
      <c r="D72" s="695" t="s">
        <v>153</v>
      </c>
      <c r="E72" s="696"/>
      <c r="F72" s="697"/>
      <c r="G72" s="31"/>
      <c r="H72" s="608"/>
      <c r="I72" s="608"/>
      <c r="J72" s="608"/>
      <c r="K72" s="698"/>
      <c r="L72" s="608"/>
      <c r="M72" s="608"/>
      <c r="N72" s="608"/>
      <c r="O72" s="608"/>
      <c r="P72" s="608"/>
      <c r="Q72" s="608"/>
      <c r="R72" s="608"/>
      <c r="S72" s="608"/>
    </row>
    <row r="73" spans="1:19" x14ac:dyDescent="0.25">
      <c r="A73" s="608"/>
      <c r="B73" s="676" t="s">
        <v>154</v>
      </c>
      <c r="C73" s="24"/>
      <c r="D73" s="25">
        <v>10000</v>
      </c>
      <c r="E73" s="24">
        <v>1</v>
      </c>
      <c r="F73" s="26">
        <f t="shared" ref="F73:F83" si="6">$D73*$E73</f>
        <v>10000</v>
      </c>
      <c r="G73" s="27"/>
      <c r="H73" s="608"/>
      <c r="I73" s="685"/>
      <c r="J73" s="686"/>
      <c r="K73" s="677"/>
      <c r="L73" s="608"/>
      <c r="M73" s="28"/>
      <c r="N73" s="608"/>
      <c r="O73" s="608"/>
      <c r="P73" s="608"/>
      <c r="Q73" s="608"/>
      <c r="R73" s="608"/>
      <c r="S73" s="608"/>
    </row>
    <row r="74" spans="1:19" x14ac:dyDescent="0.25">
      <c r="A74" s="608"/>
      <c r="B74" s="676" t="s">
        <v>155</v>
      </c>
      <c r="C74" s="24"/>
      <c r="D74" s="25">
        <v>1000</v>
      </c>
      <c r="E74" s="24">
        <v>1</v>
      </c>
      <c r="F74" s="26">
        <f t="shared" si="6"/>
        <v>1000</v>
      </c>
      <c r="G74" s="27"/>
      <c r="H74" s="608"/>
      <c r="I74" s="685"/>
      <c r="J74" s="686"/>
      <c r="K74" s="677"/>
      <c r="L74" s="608"/>
      <c r="M74" s="28"/>
      <c r="N74" s="608"/>
      <c r="O74" s="608"/>
      <c r="P74" s="608"/>
      <c r="Q74" s="608"/>
      <c r="R74" s="608"/>
      <c r="S74" s="608"/>
    </row>
    <row r="75" spans="1:19" x14ac:dyDescent="0.25">
      <c r="A75" s="608"/>
      <c r="B75" s="676" t="s">
        <v>156</v>
      </c>
      <c r="C75" s="24"/>
      <c r="D75" s="25">
        <v>15000</v>
      </c>
      <c r="E75" s="24">
        <v>1</v>
      </c>
      <c r="F75" s="26">
        <f t="shared" si="6"/>
        <v>15000</v>
      </c>
      <c r="G75" s="27"/>
      <c r="H75" s="608"/>
      <c r="I75" s="685"/>
      <c r="J75" s="686"/>
      <c r="K75" s="677"/>
      <c r="L75" s="608"/>
      <c r="M75" s="28"/>
      <c r="N75" s="608"/>
      <c r="O75" s="608"/>
      <c r="P75" s="608"/>
      <c r="Q75" s="608"/>
      <c r="R75" s="608"/>
      <c r="S75" s="608"/>
    </row>
    <row r="76" spans="1:19" x14ac:dyDescent="0.25">
      <c r="A76" s="608"/>
      <c r="B76" s="676" t="s">
        <v>157</v>
      </c>
      <c r="C76" s="24"/>
      <c r="D76" s="25">
        <v>10000</v>
      </c>
      <c r="E76" s="24">
        <v>1</v>
      </c>
      <c r="F76" s="26">
        <f t="shared" si="6"/>
        <v>10000</v>
      </c>
      <c r="G76" s="27"/>
      <c r="H76" s="608"/>
      <c r="I76" s="685"/>
      <c r="J76" s="686"/>
      <c r="K76" s="677"/>
      <c r="L76" s="608"/>
      <c r="M76" s="28"/>
      <c r="N76" s="608"/>
      <c r="O76" s="608"/>
      <c r="P76" s="608"/>
      <c r="Q76" s="608"/>
      <c r="R76" s="608"/>
      <c r="S76" s="608"/>
    </row>
    <row r="77" spans="1:19" x14ac:dyDescent="0.25">
      <c r="A77" s="608"/>
      <c r="B77" s="676" t="s">
        <v>158</v>
      </c>
      <c r="C77" s="24"/>
      <c r="D77" s="25">
        <v>50000</v>
      </c>
      <c r="E77" s="24">
        <v>1</v>
      </c>
      <c r="F77" s="26">
        <f t="shared" si="6"/>
        <v>50000</v>
      </c>
      <c r="G77" s="27"/>
      <c r="H77" s="608"/>
      <c r="I77" s="685"/>
      <c r="J77" s="686"/>
      <c r="K77" s="677"/>
      <c r="L77" s="608"/>
      <c r="M77" s="28"/>
      <c r="N77" s="608"/>
      <c r="O77" s="608"/>
      <c r="P77" s="608"/>
      <c r="Q77" s="608"/>
      <c r="R77" s="608"/>
      <c r="S77" s="608"/>
    </row>
    <row r="78" spans="1:19" x14ac:dyDescent="0.25">
      <c r="A78" s="608"/>
      <c r="B78" s="676" t="s">
        <v>159</v>
      </c>
      <c r="C78" s="24"/>
      <c r="D78" s="25">
        <v>30000</v>
      </c>
      <c r="E78" s="24">
        <v>1</v>
      </c>
      <c r="F78" s="26">
        <f t="shared" si="6"/>
        <v>30000</v>
      </c>
      <c r="G78" s="27"/>
      <c r="H78" s="608"/>
      <c r="I78" s="685"/>
      <c r="J78" s="686"/>
      <c r="K78" s="677"/>
      <c r="L78" s="608"/>
      <c r="M78" s="28"/>
      <c r="N78" s="608"/>
      <c r="O78" s="608"/>
      <c r="P78" s="608"/>
      <c r="Q78" s="608"/>
      <c r="R78" s="608"/>
      <c r="S78" s="608"/>
    </row>
    <row r="79" spans="1:19" x14ac:dyDescent="0.25">
      <c r="A79" s="608"/>
      <c r="B79" s="676" t="s">
        <v>160</v>
      </c>
      <c r="C79" s="24"/>
      <c r="D79" s="25">
        <v>50000</v>
      </c>
      <c r="E79" s="24">
        <v>1</v>
      </c>
      <c r="F79" s="26">
        <f t="shared" si="6"/>
        <v>50000</v>
      </c>
      <c r="G79" s="27"/>
      <c r="H79" s="608"/>
      <c r="I79" s="685"/>
      <c r="J79" s="686"/>
      <c r="K79" s="677"/>
      <c r="L79" s="608"/>
      <c r="M79" s="28"/>
      <c r="N79" s="608"/>
      <c r="O79" s="608"/>
      <c r="P79" s="608"/>
      <c r="Q79" s="608"/>
      <c r="R79" s="608"/>
      <c r="S79" s="608"/>
    </row>
    <row r="80" spans="1:19" x14ac:dyDescent="0.25">
      <c r="A80" s="608"/>
      <c r="B80" s="676" t="s">
        <v>161</v>
      </c>
      <c r="C80" s="24"/>
      <c r="D80" s="25">
        <v>20000</v>
      </c>
      <c r="E80" s="24">
        <v>1</v>
      </c>
      <c r="F80" s="26">
        <f t="shared" si="6"/>
        <v>20000</v>
      </c>
      <c r="G80" s="27"/>
      <c r="H80" s="608"/>
      <c r="I80" s="685"/>
      <c r="J80" s="686"/>
      <c r="K80" s="677"/>
      <c r="L80" s="608"/>
      <c r="M80" s="28"/>
      <c r="N80" s="608"/>
      <c r="O80" s="608"/>
      <c r="P80" s="608"/>
      <c r="Q80" s="608"/>
      <c r="R80" s="608"/>
      <c r="S80" s="608"/>
    </row>
    <row r="81" spans="1:19" x14ac:dyDescent="0.25">
      <c r="A81" s="608"/>
      <c r="B81" s="676" t="s">
        <v>162</v>
      </c>
      <c r="C81" s="24"/>
      <c r="D81" s="25">
        <v>5000</v>
      </c>
      <c r="E81" s="24">
        <v>1</v>
      </c>
      <c r="F81" s="26">
        <f t="shared" si="6"/>
        <v>5000</v>
      </c>
      <c r="G81" s="27"/>
      <c r="H81" s="608"/>
      <c r="I81" s="685"/>
      <c r="J81" s="686"/>
      <c r="K81" s="677"/>
      <c r="L81" s="608"/>
      <c r="M81" s="28"/>
      <c r="N81" s="608"/>
      <c r="O81" s="608"/>
      <c r="P81" s="608"/>
      <c r="Q81" s="608"/>
      <c r="R81" s="608"/>
      <c r="S81" s="608"/>
    </row>
    <row r="82" spans="1:19" x14ac:dyDescent="0.25">
      <c r="A82" s="608"/>
      <c r="B82" s="676" t="s">
        <v>285</v>
      </c>
      <c r="C82" s="24"/>
      <c r="D82" s="25">
        <v>600000</v>
      </c>
      <c r="E82" s="24">
        <v>1</v>
      </c>
      <c r="F82" s="26">
        <f t="shared" si="6"/>
        <v>600000</v>
      </c>
      <c r="G82" s="27"/>
      <c r="H82" s="608"/>
      <c r="I82" s="685"/>
      <c r="J82" s="686"/>
      <c r="K82" s="677"/>
      <c r="L82" s="608"/>
      <c r="M82" s="28"/>
      <c r="N82" s="608"/>
      <c r="O82" s="608"/>
      <c r="P82" s="608"/>
      <c r="Q82" s="608"/>
      <c r="R82" s="608"/>
      <c r="S82" s="608"/>
    </row>
    <row r="83" spans="1:19" x14ac:dyDescent="0.25">
      <c r="A83" s="608"/>
      <c r="B83" s="676" t="s">
        <v>285</v>
      </c>
      <c r="C83" s="24"/>
      <c r="D83" s="25"/>
      <c r="E83" s="24"/>
      <c r="F83" s="26">
        <f t="shared" si="6"/>
        <v>0</v>
      </c>
      <c r="G83" s="27"/>
      <c r="H83" s="608"/>
      <c r="I83" s="685"/>
      <c r="J83" s="686"/>
      <c r="K83" s="677"/>
      <c r="L83" s="608"/>
      <c r="M83" s="28"/>
      <c r="N83" s="608"/>
      <c r="O83" s="608"/>
      <c r="P83" s="608"/>
      <c r="Q83" s="608"/>
      <c r="R83" s="608"/>
      <c r="S83" s="608"/>
    </row>
    <row r="84" spans="1:19" x14ac:dyDescent="0.25">
      <c r="A84" s="608"/>
      <c r="B84" s="676" t="s">
        <v>289</v>
      </c>
      <c r="C84" s="672"/>
      <c r="D84" s="59"/>
      <c r="E84" s="315">
        <v>0.05</v>
      </c>
      <c r="F84" s="26">
        <f>SUM($F$73:$F$83)*E84</f>
        <v>39550</v>
      </c>
      <c r="G84" s="27"/>
      <c r="H84" s="608"/>
      <c r="I84" s="685"/>
      <c r="J84" s="686"/>
      <c r="K84" s="677"/>
      <c r="L84" s="608"/>
      <c r="M84" s="28"/>
      <c r="N84" s="608"/>
      <c r="O84" s="608"/>
      <c r="P84" s="608"/>
      <c r="Q84" s="608"/>
      <c r="R84" s="608"/>
      <c r="S84" s="608"/>
    </row>
    <row r="85" spans="1:19" x14ac:dyDescent="0.25">
      <c r="A85" s="608"/>
      <c r="B85" s="699" t="s">
        <v>163</v>
      </c>
      <c r="C85" s="700"/>
      <c r="D85" s="701"/>
      <c r="E85" s="652"/>
      <c r="F85" s="33">
        <f>SUM($F$73:$F$84)</f>
        <v>830550</v>
      </c>
      <c r="G85" s="30"/>
      <c r="H85" s="608"/>
      <c r="I85" s="690"/>
      <c r="J85" s="691"/>
      <c r="K85" s="698"/>
      <c r="L85" s="608"/>
      <c r="M85" s="693"/>
      <c r="N85" s="608"/>
      <c r="O85" s="608"/>
      <c r="P85" s="608"/>
      <c r="Q85" s="608"/>
      <c r="R85" s="608"/>
      <c r="S85" s="608"/>
    </row>
    <row r="86" spans="1:19" x14ac:dyDescent="0.25">
      <c r="A86" s="608"/>
      <c r="B86" s="671" t="s">
        <v>164</v>
      </c>
      <c r="C86" s="702"/>
      <c r="D86" s="703"/>
      <c r="E86" s="637"/>
      <c r="F86" s="704"/>
      <c r="G86" s="31"/>
      <c r="H86" s="608"/>
      <c r="I86" s="608"/>
      <c r="J86" s="608"/>
      <c r="K86" s="698"/>
      <c r="L86" s="608"/>
      <c r="M86" s="608"/>
      <c r="N86" s="608"/>
      <c r="O86" s="608"/>
      <c r="P86" s="608"/>
      <c r="Q86" s="608"/>
      <c r="R86" s="608"/>
      <c r="S86" s="608"/>
    </row>
    <row r="87" spans="1:19" x14ac:dyDescent="0.25">
      <c r="A87" s="608"/>
      <c r="B87" s="676" t="s">
        <v>165</v>
      </c>
      <c r="C87" s="24"/>
      <c r="D87" s="25">
        <v>50000</v>
      </c>
      <c r="E87" s="24">
        <v>1</v>
      </c>
      <c r="F87" s="26">
        <f t="shared" ref="F87:F93" si="7">$D87*$E87</f>
        <v>50000</v>
      </c>
      <c r="G87" s="27"/>
      <c r="H87" s="608"/>
      <c r="I87" s="685"/>
      <c r="J87" s="686"/>
      <c r="K87" s="698"/>
      <c r="L87" s="608"/>
      <c r="M87" s="28"/>
      <c r="N87" s="608"/>
      <c r="O87" s="608"/>
      <c r="P87" s="608"/>
      <c r="Q87" s="608"/>
      <c r="R87" s="608"/>
      <c r="S87" s="608"/>
    </row>
    <row r="88" spans="1:19" x14ac:dyDescent="0.25">
      <c r="A88" s="608"/>
      <c r="B88" s="676" t="s">
        <v>166</v>
      </c>
      <c r="C88" s="24"/>
      <c r="D88" s="25">
        <v>50000</v>
      </c>
      <c r="E88" s="24">
        <v>1</v>
      </c>
      <c r="F88" s="26">
        <f t="shared" si="7"/>
        <v>50000</v>
      </c>
      <c r="G88" s="27"/>
      <c r="H88" s="608"/>
      <c r="I88" s="685"/>
      <c r="J88" s="686"/>
      <c r="K88" s="698"/>
      <c r="L88" s="608"/>
      <c r="M88" s="28"/>
      <c r="N88" s="608"/>
      <c r="O88" s="608"/>
      <c r="P88" s="608"/>
      <c r="Q88" s="608"/>
      <c r="R88" s="608"/>
      <c r="S88" s="608"/>
    </row>
    <row r="89" spans="1:19" x14ac:dyDescent="0.25">
      <c r="A89" s="608"/>
      <c r="B89" s="676" t="s">
        <v>167</v>
      </c>
      <c r="C89" s="24"/>
      <c r="D89" s="25">
        <v>25000</v>
      </c>
      <c r="E89" s="24">
        <v>1</v>
      </c>
      <c r="F89" s="26">
        <f t="shared" si="7"/>
        <v>25000</v>
      </c>
      <c r="G89" s="27"/>
      <c r="H89" s="608"/>
      <c r="I89" s="685"/>
      <c r="J89" s="686"/>
      <c r="K89" s="698"/>
      <c r="L89" s="608"/>
      <c r="M89" s="28"/>
      <c r="N89" s="608"/>
      <c r="O89" s="608"/>
      <c r="P89" s="608"/>
      <c r="Q89" s="608"/>
      <c r="R89" s="608"/>
      <c r="S89" s="608"/>
    </row>
    <row r="90" spans="1:19" x14ac:dyDescent="0.25">
      <c r="A90" s="608"/>
      <c r="B90" s="676" t="s">
        <v>168</v>
      </c>
      <c r="C90" s="24"/>
      <c r="D90" s="25">
        <v>15000</v>
      </c>
      <c r="E90" s="24">
        <v>15</v>
      </c>
      <c r="F90" s="26">
        <f t="shared" si="7"/>
        <v>225000</v>
      </c>
      <c r="G90" s="27"/>
      <c r="H90" s="608"/>
      <c r="I90" s="685"/>
      <c r="J90" s="686"/>
      <c r="K90" s="698"/>
      <c r="L90" s="608"/>
      <c r="M90" s="28"/>
      <c r="N90" s="608"/>
      <c r="O90" s="608"/>
      <c r="P90" s="608"/>
      <c r="Q90" s="608"/>
      <c r="R90" s="608"/>
      <c r="S90" s="608"/>
    </row>
    <row r="91" spans="1:19" x14ac:dyDescent="0.25">
      <c r="A91" s="608"/>
      <c r="B91" s="676" t="s">
        <v>169</v>
      </c>
      <c r="C91" s="24"/>
      <c r="D91" s="25">
        <v>10000</v>
      </c>
      <c r="E91" s="24">
        <v>1</v>
      </c>
      <c r="F91" s="26">
        <f t="shared" si="7"/>
        <v>10000</v>
      </c>
      <c r="G91" s="27"/>
      <c r="H91" s="608"/>
      <c r="I91" s="685"/>
      <c r="J91" s="686"/>
      <c r="K91" s="698"/>
      <c r="L91" s="608"/>
      <c r="M91" s="28"/>
      <c r="N91" s="608"/>
      <c r="O91" s="608"/>
      <c r="P91" s="608"/>
      <c r="Q91" s="608"/>
      <c r="R91" s="608"/>
      <c r="S91" s="608"/>
    </row>
    <row r="92" spans="1:19" x14ac:dyDescent="0.25">
      <c r="A92" s="608"/>
      <c r="B92" s="676" t="s">
        <v>285</v>
      </c>
      <c r="C92" s="24"/>
      <c r="D92" s="25"/>
      <c r="E92" s="24"/>
      <c r="F92" s="26">
        <f t="shared" si="7"/>
        <v>0</v>
      </c>
      <c r="G92" s="27"/>
      <c r="H92" s="608"/>
      <c r="I92" s="685"/>
      <c r="J92" s="686"/>
      <c r="K92" s="677"/>
      <c r="L92" s="608"/>
      <c r="M92" s="28"/>
      <c r="N92" s="608"/>
      <c r="O92" s="608"/>
      <c r="P92" s="608"/>
      <c r="Q92" s="608"/>
      <c r="R92" s="608"/>
      <c r="S92" s="608"/>
    </row>
    <row r="93" spans="1:19" x14ac:dyDescent="0.25">
      <c r="A93" s="608"/>
      <c r="B93" s="676" t="s">
        <v>285</v>
      </c>
      <c r="C93" s="24"/>
      <c r="D93" s="25"/>
      <c r="E93" s="24"/>
      <c r="F93" s="26">
        <f t="shared" si="7"/>
        <v>0</v>
      </c>
      <c r="G93" s="27"/>
      <c r="H93" s="608"/>
      <c r="I93" s="685"/>
      <c r="J93" s="686"/>
      <c r="K93" s="677"/>
      <c r="L93" s="608"/>
      <c r="M93" s="28"/>
      <c r="N93" s="608"/>
      <c r="O93" s="608"/>
      <c r="P93" s="608"/>
      <c r="Q93" s="608"/>
      <c r="R93" s="608"/>
      <c r="S93" s="608"/>
    </row>
    <row r="94" spans="1:19" x14ac:dyDescent="0.25">
      <c r="A94" s="608"/>
      <c r="B94" s="676" t="s">
        <v>289</v>
      </c>
      <c r="C94" s="672"/>
      <c r="D94" s="59"/>
      <c r="E94" s="315">
        <v>0.15</v>
      </c>
      <c r="F94" s="26">
        <f>SUM($F$87:$F$93)*E94</f>
        <v>54000</v>
      </c>
      <c r="G94" s="27"/>
      <c r="H94" s="608"/>
      <c r="I94" s="685"/>
      <c r="J94" s="686"/>
      <c r="K94" s="677"/>
      <c r="L94" s="608"/>
      <c r="M94" s="28"/>
      <c r="N94" s="608"/>
      <c r="O94" s="608"/>
      <c r="P94" s="608"/>
      <c r="Q94" s="608"/>
      <c r="R94" s="608"/>
      <c r="S94" s="608"/>
    </row>
    <row r="95" spans="1:19" x14ac:dyDescent="0.25">
      <c r="A95" s="608"/>
      <c r="B95" s="678" t="s">
        <v>170</v>
      </c>
      <c r="C95" s="702"/>
      <c r="D95" s="702"/>
      <c r="E95" s="637"/>
      <c r="F95" s="29">
        <f>SUM($F$87:$F$94)</f>
        <v>414000</v>
      </c>
      <c r="G95" s="30"/>
      <c r="H95" s="608"/>
      <c r="I95" s="690"/>
      <c r="J95" s="705"/>
      <c r="K95" s="698"/>
      <c r="L95" s="608"/>
      <c r="M95" s="28"/>
      <c r="N95" s="608"/>
      <c r="O95" s="608"/>
      <c r="P95" s="608"/>
      <c r="Q95" s="608"/>
      <c r="R95" s="608"/>
      <c r="S95" s="608"/>
    </row>
    <row r="96" spans="1:19" x14ac:dyDescent="0.25">
      <c r="A96" s="608"/>
      <c r="B96" s="706" t="s">
        <v>171</v>
      </c>
      <c r="C96" s="707"/>
      <c r="D96" s="708"/>
      <c r="E96" s="709"/>
      <c r="F96" s="36">
        <f>$F$56+$F$71+$F$85+$F$95</f>
        <v>2614550</v>
      </c>
      <c r="G96" s="733"/>
      <c r="H96" s="38"/>
      <c r="I96" s="38"/>
      <c r="J96" s="38"/>
      <c r="K96" s="698"/>
      <c r="L96" s="608"/>
      <c r="M96" s="39"/>
      <c r="N96" s="608"/>
      <c r="O96" s="608"/>
      <c r="P96" s="608"/>
      <c r="Q96" s="608"/>
      <c r="R96" s="608"/>
      <c r="S96" s="608"/>
    </row>
    <row r="97" spans="1:19" x14ac:dyDescent="0.25">
      <c r="A97" s="608"/>
      <c r="B97" s="809" t="s">
        <v>172</v>
      </c>
      <c r="C97" s="810"/>
      <c r="D97" s="810"/>
      <c r="E97" s="810"/>
      <c r="F97" s="811"/>
      <c r="G97" s="37"/>
      <c r="H97" s="38"/>
      <c r="I97" s="38"/>
      <c r="J97" s="38"/>
      <c r="K97" s="698"/>
      <c r="L97" s="608"/>
      <c r="M97" s="39"/>
      <c r="N97" s="608"/>
      <c r="O97" s="608"/>
      <c r="P97" s="608"/>
      <c r="Q97" s="608"/>
      <c r="R97" s="608"/>
      <c r="S97" s="608"/>
    </row>
    <row r="98" spans="1:19" x14ac:dyDescent="0.25">
      <c r="A98" s="608"/>
      <c r="B98" s="710" t="s">
        <v>173</v>
      </c>
      <c r="C98" s="711"/>
      <c r="D98" s="712" t="s">
        <v>121</v>
      </c>
      <c r="E98" s="155" t="s">
        <v>479</v>
      </c>
      <c r="F98" s="713" t="s">
        <v>14</v>
      </c>
      <c r="G98" s="608"/>
      <c r="H98" s="608"/>
      <c r="I98" s="608"/>
      <c r="J98" s="608"/>
      <c r="K98" s="608"/>
      <c r="L98" s="608"/>
      <c r="M98" s="608"/>
      <c r="N98" s="608"/>
      <c r="O98" s="608"/>
      <c r="P98" s="608"/>
      <c r="Q98" s="608"/>
      <c r="R98" s="608"/>
      <c r="S98" s="608"/>
    </row>
    <row r="99" spans="1:19" x14ac:dyDescent="0.25">
      <c r="A99" s="608"/>
      <c r="B99" s="658" t="str">
        <f>B57</f>
        <v>Site Civils &amp; Infrastructure</v>
      </c>
      <c r="C99" s="633"/>
      <c r="D99" s="59">
        <f>$F$71</f>
        <v>360000</v>
      </c>
      <c r="E99" s="40">
        <f>D99/($F$47+$F$71+$F$85+$F$95)</f>
        <v>6.9638556547475125E-2</v>
      </c>
      <c r="F99" s="714" t="s">
        <v>174</v>
      </c>
      <c r="G99" s="608"/>
      <c r="H99" s="608"/>
      <c r="I99" s="608"/>
      <c r="J99" s="608"/>
      <c r="K99" s="608"/>
      <c r="L99" s="608"/>
      <c r="M99" s="608"/>
      <c r="N99" s="608"/>
      <c r="O99" s="608"/>
      <c r="P99" s="608"/>
      <c r="Q99" s="608"/>
      <c r="R99" s="608"/>
      <c r="S99" s="608"/>
    </row>
    <row r="100" spans="1:19" x14ac:dyDescent="0.25">
      <c r="A100" s="608"/>
      <c r="B100" s="658" t="str">
        <f>B72</f>
        <v>Professional Fees</v>
      </c>
      <c r="C100" s="633"/>
      <c r="D100" s="59">
        <f>$F$85</f>
        <v>830550</v>
      </c>
      <c r="E100" s="40">
        <f>D100/($F$47+$F$71+$F$85+$F$95)</f>
        <v>0.16066195316807072</v>
      </c>
      <c r="F100" s="715">
        <v>0.125</v>
      </c>
      <c r="G100" s="608"/>
      <c r="H100" s="608"/>
      <c r="I100" s="608"/>
      <c r="J100" s="608"/>
      <c r="K100" s="608"/>
      <c r="L100" s="608"/>
      <c r="M100" s="608"/>
      <c r="N100" s="608"/>
      <c r="O100" s="608"/>
      <c r="P100" s="608"/>
      <c r="Q100" s="608"/>
      <c r="R100" s="608"/>
      <c r="S100" s="608"/>
    </row>
    <row r="101" spans="1:19" x14ac:dyDescent="0.25">
      <c r="A101" s="608"/>
      <c r="B101" s="658" t="s">
        <v>175</v>
      </c>
      <c r="C101" s="633"/>
      <c r="D101" s="59">
        <f>$F$95-$F$90</f>
        <v>189000</v>
      </c>
      <c r="E101" s="40">
        <f>D101/($F$47+$F$71+$F$85+$F$95)</f>
        <v>3.6560242187424437E-2</v>
      </c>
      <c r="F101" s="715">
        <v>1.2500000000000001E-2</v>
      </c>
      <c r="G101" s="608"/>
      <c r="H101" s="608"/>
      <c r="I101" s="608"/>
      <c r="J101" s="608"/>
      <c r="K101" s="608"/>
      <c r="L101" s="608"/>
      <c r="M101" s="608"/>
      <c r="N101" s="608"/>
      <c r="O101" s="608"/>
      <c r="P101" s="608"/>
      <c r="Q101" s="608"/>
      <c r="R101" s="608"/>
      <c r="S101" s="608"/>
    </row>
    <row r="102" spans="1:19" x14ac:dyDescent="0.25">
      <c r="A102" s="608"/>
      <c r="B102" s="716" t="s">
        <v>176</v>
      </c>
      <c r="C102" s="717"/>
      <c r="D102" s="662">
        <f>F94+F84+F70+F46</f>
        <v>618550</v>
      </c>
      <c r="E102" s="41">
        <f>D102/($F$47+$F$71+$F$85+$F$95)</f>
        <v>0.11965258097900204</v>
      </c>
      <c r="F102" s="718" t="s">
        <v>177</v>
      </c>
      <c r="G102" s="608"/>
      <c r="H102" s="608"/>
      <c r="I102" s="608"/>
      <c r="J102" s="608"/>
      <c r="K102" s="608"/>
      <c r="L102" s="608"/>
      <c r="M102" s="608"/>
      <c r="N102" s="608"/>
      <c r="O102" s="608"/>
      <c r="P102" s="608"/>
      <c r="Q102" s="608"/>
      <c r="R102" s="608"/>
      <c r="S102" s="608"/>
    </row>
    <row r="103" spans="1:19" s="608" customFormat="1" x14ac:dyDescent="0.25"/>
    <row r="104" spans="1:19" s="608" customFormat="1" x14ac:dyDescent="0.25"/>
    <row r="105" spans="1:19" s="608" customFormat="1" x14ac:dyDescent="0.25"/>
    <row r="106" spans="1:19" s="608" customFormat="1" x14ac:dyDescent="0.25"/>
    <row r="107" spans="1:19" s="608" customFormat="1" x14ac:dyDescent="0.25"/>
    <row r="108" spans="1:19" s="608" customFormat="1" x14ac:dyDescent="0.25"/>
    <row r="109" spans="1:19" s="608" customFormat="1" x14ac:dyDescent="0.25"/>
    <row r="110" spans="1:19" s="608" customFormat="1" x14ac:dyDescent="0.25"/>
    <row r="111" spans="1:19" s="608" customFormat="1" x14ac:dyDescent="0.25"/>
    <row r="112" spans="1:19" s="608" customFormat="1" x14ac:dyDescent="0.25"/>
    <row r="113" s="608" customFormat="1" x14ac:dyDescent="0.25"/>
    <row r="114" s="608" customFormat="1" x14ac:dyDescent="0.25"/>
    <row r="115" s="608" customFormat="1" x14ac:dyDescent="0.25"/>
    <row r="116" s="608" customFormat="1" x14ac:dyDescent="0.25"/>
    <row r="117" s="608" customFormat="1" x14ac:dyDescent="0.25"/>
    <row r="118" s="608" customFormat="1" x14ac:dyDescent="0.25"/>
    <row r="119" s="608" customFormat="1" x14ac:dyDescent="0.25"/>
    <row r="120" s="608" customFormat="1" x14ac:dyDescent="0.25"/>
    <row r="121" s="608" customFormat="1" x14ac:dyDescent="0.25"/>
    <row r="122" s="608" customFormat="1" x14ac:dyDescent="0.25"/>
    <row r="123" s="608" customFormat="1" x14ac:dyDescent="0.25"/>
    <row r="124" s="608" customFormat="1" x14ac:dyDescent="0.25"/>
    <row r="125" s="608" customFormat="1" x14ac:dyDescent="0.25"/>
    <row r="126" s="608" customFormat="1" x14ac:dyDescent="0.25"/>
    <row r="127" s="608" customFormat="1" x14ac:dyDescent="0.25"/>
    <row r="128" s="608" customFormat="1" x14ac:dyDescent="0.25"/>
    <row r="129" s="608" customFormat="1" x14ac:dyDescent="0.25"/>
    <row r="130" s="608" customFormat="1" x14ac:dyDescent="0.25"/>
    <row r="131" s="608" customFormat="1" x14ac:dyDescent="0.25"/>
    <row r="132" s="608" customFormat="1" x14ac:dyDescent="0.25"/>
    <row r="133" s="608" customFormat="1" x14ac:dyDescent="0.25"/>
    <row r="134" s="608" customFormat="1" x14ac:dyDescent="0.25"/>
    <row r="135" s="608" customFormat="1" x14ac:dyDescent="0.25"/>
    <row r="136" s="608" customFormat="1" x14ac:dyDescent="0.25"/>
    <row r="137" s="608" customFormat="1" x14ac:dyDescent="0.25"/>
    <row r="138" s="608" customFormat="1" x14ac:dyDescent="0.25"/>
    <row r="139" s="608" customFormat="1" x14ac:dyDescent="0.25"/>
    <row r="140" s="608" customFormat="1" x14ac:dyDescent="0.25"/>
    <row r="141" s="608" customFormat="1" x14ac:dyDescent="0.25"/>
    <row r="142" s="608" customFormat="1" x14ac:dyDescent="0.25"/>
    <row r="143" s="608" customFormat="1" x14ac:dyDescent="0.25"/>
    <row r="144" s="608" customFormat="1" x14ac:dyDescent="0.25"/>
    <row r="145" s="608" customFormat="1" x14ac:dyDescent="0.25"/>
    <row r="146" s="608" customFormat="1" x14ac:dyDescent="0.25"/>
    <row r="147" s="608" customFormat="1" x14ac:dyDescent="0.25"/>
    <row r="148" s="608" customFormat="1" x14ac:dyDescent="0.25"/>
    <row r="149" s="608" customFormat="1" x14ac:dyDescent="0.25"/>
    <row r="150" s="608" customFormat="1" x14ac:dyDescent="0.25"/>
    <row r="151" s="608" customFormat="1" x14ac:dyDescent="0.25"/>
    <row r="152" s="608" customFormat="1" x14ac:dyDescent="0.25"/>
    <row r="153" s="608" customFormat="1" x14ac:dyDescent="0.25"/>
    <row r="154" s="608" customFormat="1" x14ac:dyDescent="0.25"/>
    <row r="155" s="608" customFormat="1" x14ac:dyDescent="0.25"/>
    <row r="156" s="608" customFormat="1" x14ac:dyDescent="0.25"/>
    <row r="157" s="608" customFormat="1" x14ac:dyDescent="0.25"/>
    <row r="158" s="608" customFormat="1" x14ac:dyDescent="0.25"/>
    <row r="159" s="608" customFormat="1" x14ac:dyDescent="0.25"/>
    <row r="160" s="608" customFormat="1" x14ac:dyDescent="0.25"/>
    <row r="161" s="608" customFormat="1" x14ac:dyDescent="0.25"/>
    <row r="162" s="608" customFormat="1" x14ac:dyDescent="0.25"/>
    <row r="163" s="608" customFormat="1" x14ac:dyDescent="0.25"/>
    <row r="164" s="608" customFormat="1" x14ac:dyDescent="0.25"/>
    <row r="165" s="608" customFormat="1" x14ac:dyDescent="0.25"/>
    <row r="166" s="608" customFormat="1" x14ac:dyDescent="0.25"/>
    <row r="167" s="608" customFormat="1" x14ac:dyDescent="0.25"/>
    <row r="168" s="608" customFormat="1" x14ac:dyDescent="0.25"/>
    <row r="169" s="608" customFormat="1" x14ac:dyDescent="0.25"/>
    <row r="170" s="608" customFormat="1" x14ac:dyDescent="0.25"/>
    <row r="171" s="608" customFormat="1" x14ac:dyDescent="0.25"/>
    <row r="172" s="608" customFormat="1" x14ac:dyDescent="0.25"/>
    <row r="173" s="608" customFormat="1" x14ac:dyDescent="0.25"/>
    <row r="174" s="608" customFormat="1" x14ac:dyDescent="0.25"/>
    <row r="175" s="608" customFormat="1" x14ac:dyDescent="0.25"/>
    <row r="176" s="608" customFormat="1" x14ac:dyDescent="0.25"/>
    <row r="177" s="608" customFormat="1" x14ac:dyDescent="0.25"/>
    <row r="178" s="608" customFormat="1" x14ac:dyDescent="0.25"/>
    <row r="179" s="608" customFormat="1" x14ac:dyDescent="0.25"/>
    <row r="180" s="608" customFormat="1" x14ac:dyDescent="0.25"/>
    <row r="181" s="608" customFormat="1" x14ac:dyDescent="0.25"/>
    <row r="182" s="608" customFormat="1" x14ac:dyDescent="0.25"/>
    <row r="183" s="608" customFormat="1" x14ac:dyDescent="0.25"/>
    <row r="184" s="608" customFormat="1" x14ac:dyDescent="0.25"/>
    <row r="185" s="608" customFormat="1" x14ac:dyDescent="0.25"/>
    <row r="186" s="608" customFormat="1" x14ac:dyDescent="0.25"/>
    <row r="187" s="608" customFormat="1" x14ac:dyDescent="0.25"/>
    <row r="188" s="608" customFormat="1" x14ac:dyDescent="0.25"/>
    <row r="189" s="608" customFormat="1" x14ac:dyDescent="0.25"/>
    <row r="190" s="608" customFormat="1" x14ac:dyDescent="0.25"/>
    <row r="191" s="608" customFormat="1" x14ac:dyDescent="0.25"/>
    <row r="192" s="608" customFormat="1" x14ac:dyDescent="0.25"/>
    <row r="193" s="608" customFormat="1" x14ac:dyDescent="0.25"/>
    <row r="194" s="608" customFormat="1" x14ac:dyDescent="0.25"/>
    <row r="195" s="608" customFormat="1" x14ac:dyDescent="0.25"/>
    <row r="196" s="608" customFormat="1" x14ac:dyDescent="0.25"/>
    <row r="197" s="608" customFormat="1" x14ac:dyDescent="0.25"/>
    <row r="198" s="608" customFormat="1" x14ac:dyDescent="0.25"/>
    <row r="199" s="608" customFormat="1" x14ac:dyDescent="0.25"/>
    <row r="200" s="608" customFormat="1" x14ac:dyDescent="0.25"/>
    <row r="201" s="608" customFormat="1" x14ac:dyDescent="0.25"/>
    <row r="202" s="608" customFormat="1" x14ac:dyDescent="0.25"/>
    <row r="203" s="608" customFormat="1" x14ac:dyDescent="0.25"/>
    <row r="204" s="608" customFormat="1" x14ac:dyDescent="0.25"/>
    <row r="205" s="608" customFormat="1" x14ac:dyDescent="0.25"/>
    <row r="206" s="608" customFormat="1" x14ac:dyDescent="0.25"/>
    <row r="207" s="608" customFormat="1" x14ac:dyDescent="0.25"/>
    <row r="208" s="608" customFormat="1" x14ac:dyDescent="0.25"/>
    <row r="209" s="608" customFormat="1" x14ac:dyDescent="0.25"/>
    <row r="210" s="608" customFormat="1" x14ac:dyDescent="0.25"/>
    <row r="211" s="608" customFormat="1" x14ac:dyDescent="0.25"/>
    <row r="212" s="608" customFormat="1" x14ac:dyDescent="0.25"/>
    <row r="213" s="608" customFormat="1" x14ac:dyDescent="0.25"/>
    <row r="214" s="608" customFormat="1" x14ac:dyDescent="0.25"/>
    <row r="215" s="608" customFormat="1" x14ac:dyDescent="0.25"/>
    <row r="216" s="608" customFormat="1" x14ac:dyDescent="0.25"/>
    <row r="217" s="608" customFormat="1" x14ac:dyDescent="0.25"/>
    <row r="218" s="608" customFormat="1" x14ac:dyDescent="0.25"/>
    <row r="219" s="608" customFormat="1" x14ac:dyDescent="0.25"/>
    <row r="220" s="608" customFormat="1" x14ac:dyDescent="0.25"/>
    <row r="221" s="608" customFormat="1" x14ac:dyDescent="0.25"/>
    <row r="222" s="608" customFormat="1" x14ac:dyDescent="0.25"/>
    <row r="223" s="608" customFormat="1" x14ac:dyDescent="0.25"/>
    <row r="224" s="608" customFormat="1" x14ac:dyDescent="0.25"/>
    <row r="225" s="608" customFormat="1" x14ac:dyDescent="0.25"/>
    <row r="226" s="608" customFormat="1" x14ac:dyDescent="0.25"/>
    <row r="227" s="608" customFormat="1" x14ac:dyDescent="0.25"/>
    <row r="228" s="608" customFormat="1" x14ac:dyDescent="0.25"/>
    <row r="229" s="608" customFormat="1" x14ac:dyDescent="0.25"/>
    <row r="230" s="608" customFormat="1" x14ac:dyDescent="0.25"/>
    <row r="231" s="608" customFormat="1" x14ac:dyDescent="0.25"/>
    <row r="232" s="608" customFormat="1" x14ac:dyDescent="0.25"/>
    <row r="233" s="608" customFormat="1" x14ac:dyDescent="0.25"/>
    <row r="234" s="608" customFormat="1" x14ac:dyDescent="0.25"/>
    <row r="235" s="608" customFormat="1" x14ac:dyDescent="0.25"/>
    <row r="236" s="608" customFormat="1" x14ac:dyDescent="0.25"/>
    <row r="237" s="608" customFormat="1" x14ac:dyDescent="0.25"/>
    <row r="238" s="608" customFormat="1" x14ac:dyDescent="0.25"/>
    <row r="239" s="608" customFormat="1" x14ac:dyDescent="0.25"/>
    <row r="240" s="608" customFormat="1" x14ac:dyDescent="0.25"/>
    <row r="241" s="608" customFormat="1" x14ac:dyDescent="0.25"/>
    <row r="242" s="608" customFormat="1" x14ac:dyDescent="0.25"/>
    <row r="243" s="608" customFormat="1" x14ac:dyDescent="0.25"/>
    <row r="244" s="608" customFormat="1" x14ac:dyDescent="0.25"/>
    <row r="245" s="608" customFormat="1" x14ac:dyDescent="0.25"/>
    <row r="246" s="608" customFormat="1" x14ac:dyDescent="0.25"/>
    <row r="247" s="608" customFormat="1" x14ac:dyDescent="0.25"/>
    <row r="248" s="608" customFormat="1" x14ac:dyDescent="0.25"/>
    <row r="249" s="608" customFormat="1" x14ac:dyDescent="0.25"/>
    <row r="250" s="608" customFormat="1" x14ac:dyDescent="0.25"/>
    <row r="251" s="608" customFormat="1" x14ac:dyDescent="0.25"/>
    <row r="252" s="608" customFormat="1" x14ac:dyDescent="0.25"/>
    <row r="253" s="608" customFormat="1" x14ac:dyDescent="0.25"/>
    <row r="254" s="608" customFormat="1" x14ac:dyDescent="0.25"/>
    <row r="255" s="608" customFormat="1" x14ac:dyDescent="0.25"/>
    <row r="256" s="608" customFormat="1" x14ac:dyDescent="0.25"/>
    <row r="257" s="608" customFormat="1" x14ac:dyDescent="0.25"/>
    <row r="258" s="608" customFormat="1" x14ac:dyDescent="0.25"/>
    <row r="259" s="608" customFormat="1" x14ac:dyDescent="0.25"/>
    <row r="260" s="608" customFormat="1" x14ac:dyDescent="0.25"/>
    <row r="261" s="608" customFormat="1" x14ac:dyDescent="0.25"/>
    <row r="262" s="608" customFormat="1" x14ac:dyDescent="0.25"/>
    <row r="263" s="608" customFormat="1" x14ac:dyDescent="0.25"/>
    <row r="264" s="608" customFormat="1" x14ac:dyDescent="0.25"/>
    <row r="265" s="608" customFormat="1" x14ac:dyDescent="0.25"/>
    <row r="266" s="608" customFormat="1" x14ac:dyDescent="0.25"/>
    <row r="267" s="608" customFormat="1" x14ac:dyDescent="0.25"/>
    <row r="268" s="608" customFormat="1" x14ac:dyDescent="0.25"/>
    <row r="269" s="608" customFormat="1" x14ac:dyDescent="0.25"/>
    <row r="270" s="608" customFormat="1" x14ac:dyDescent="0.25"/>
    <row r="271" s="608" customFormat="1" x14ac:dyDescent="0.25"/>
    <row r="272" s="608" customFormat="1" x14ac:dyDescent="0.25"/>
    <row r="273" s="608" customFormat="1" x14ac:dyDescent="0.25"/>
    <row r="274" s="608" customFormat="1" x14ac:dyDescent="0.25"/>
    <row r="275" s="608" customFormat="1" x14ac:dyDescent="0.25"/>
    <row r="276" s="608" customFormat="1" x14ac:dyDescent="0.25"/>
    <row r="277" s="608" customFormat="1" x14ac:dyDescent="0.25"/>
    <row r="278" s="608" customFormat="1" x14ac:dyDescent="0.25"/>
    <row r="279" s="608" customFormat="1" x14ac:dyDescent="0.25"/>
    <row r="280" s="608" customFormat="1" x14ac:dyDescent="0.25"/>
    <row r="281" s="608" customFormat="1" x14ac:dyDescent="0.25"/>
    <row r="282" s="608" customFormat="1" x14ac:dyDescent="0.25"/>
    <row r="283" s="608" customFormat="1" x14ac:dyDescent="0.25"/>
    <row r="284" s="608" customFormat="1" x14ac:dyDescent="0.25"/>
    <row r="285" s="608" customFormat="1" x14ac:dyDescent="0.25"/>
    <row r="286" s="608" customFormat="1" x14ac:dyDescent="0.25"/>
    <row r="287" s="608" customFormat="1" x14ac:dyDescent="0.25"/>
    <row r="288" s="608" customFormat="1" x14ac:dyDescent="0.25"/>
    <row r="289" s="608" customFormat="1" x14ac:dyDescent="0.25"/>
    <row r="290" s="608" customFormat="1" x14ac:dyDescent="0.25"/>
    <row r="291" s="608" customFormat="1" x14ac:dyDescent="0.25"/>
    <row r="292" s="608" customFormat="1" x14ac:dyDescent="0.25"/>
    <row r="293" s="608" customFormat="1" x14ac:dyDescent="0.25"/>
    <row r="294" s="608" customFormat="1" x14ac:dyDescent="0.25"/>
    <row r="295" s="608" customFormat="1" x14ac:dyDescent="0.25"/>
    <row r="296" s="608" customFormat="1" x14ac:dyDescent="0.25"/>
    <row r="297" s="608" customFormat="1" x14ac:dyDescent="0.25"/>
    <row r="298" s="608" customFormat="1" x14ac:dyDescent="0.25"/>
    <row r="299" s="608" customFormat="1" x14ac:dyDescent="0.25"/>
    <row r="300" s="608" customFormat="1" x14ac:dyDescent="0.25"/>
    <row r="301" s="608" customFormat="1" x14ac:dyDescent="0.25"/>
    <row r="302" s="608" customFormat="1" x14ac:dyDescent="0.25"/>
    <row r="303" s="608" customFormat="1" x14ac:dyDescent="0.25"/>
    <row r="304" s="608" customFormat="1" x14ac:dyDescent="0.25"/>
    <row r="305" s="608" customFormat="1" x14ac:dyDescent="0.25"/>
    <row r="306" s="608" customFormat="1" x14ac:dyDescent="0.25"/>
    <row r="307" s="608" customFormat="1" x14ac:dyDescent="0.25"/>
    <row r="308" s="608" customFormat="1" x14ac:dyDescent="0.25"/>
    <row r="309" s="608" customFormat="1" x14ac:dyDescent="0.25"/>
    <row r="310" s="608" customFormat="1" x14ac:dyDescent="0.25"/>
    <row r="311" s="608" customFormat="1" x14ac:dyDescent="0.25"/>
    <row r="312" s="608" customFormat="1" x14ac:dyDescent="0.25"/>
    <row r="313" s="608" customFormat="1" x14ac:dyDescent="0.25"/>
    <row r="314" s="608" customFormat="1" x14ac:dyDescent="0.25"/>
    <row r="315" s="608" customFormat="1" x14ac:dyDescent="0.25"/>
    <row r="316" s="608" customFormat="1" x14ac:dyDescent="0.25"/>
    <row r="317" s="608" customFormat="1" x14ac:dyDescent="0.25"/>
    <row r="318" s="608" customFormat="1" x14ac:dyDescent="0.25"/>
    <row r="319" s="608" customFormat="1" x14ac:dyDescent="0.25"/>
    <row r="320" s="608" customFormat="1" x14ac:dyDescent="0.25"/>
    <row r="321" s="608" customFormat="1" x14ac:dyDescent="0.25"/>
    <row r="322" s="608" customFormat="1" x14ac:dyDescent="0.25"/>
    <row r="323" s="608" customFormat="1" x14ac:dyDescent="0.25"/>
    <row r="324" s="608" customFormat="1" x14ac:dyDescent="0.25"/>
    <row r="325" s="608" customFormat="1" x14ac:dyDescent="0.25"/>
    <row r="326" s="608" customFormat="1" x14ac:dyDescent="0.25"/>
    <row r="327" s="608" customFormat="1" x14ac:dyDescent="0.25"/>
    <row r="328" s="608" customFormat="1" x14ac:dyDescent="0.25"/>
    <row r="329" s="608" customFormat="1" x14ac:dyDescent="0.25"/>
    <row r="330" s="608" customFormat="1" x14ac:dyDescent="0.25"/>
    <row r="331" s="608" customFormat="1" x14ac:dyDescent="0.25"/>
    <row r="332" s="608" customFormat="1" x14ac:dyDescent="0.25"/>
    <row r="333" s="608" customFormat="1" x14ac:dyDescent="0.25"/>
    <row r="334" s="608" customFormat="1" x14ac:dyDescent="0.25"/>
    <row r="335" s="608" customFormat="1" x14ac:dyDescent="0.25"/>
    <row r="336" s="608" customFormat="1" x14ac:dyDescent="0.25"/>
    <row r="337" s="608" customFormat="1" x14ac:dyDescent="0.25"/>
    <row r="338" s="608" customFormat="1" x14ac:dyDescent="0.25"/>
    <row r="339" s="608" customFormat="1" x14ac:dyDescent="0.25"/>
    <row r="340" s="608" customFormat="1" x14ac:dyDescent="0.25"/>
    <row r="341" s="608" customFormat="1" x14ac:dyDescent="0.25"/>
    <row r="342" s="608" customFormat="1" x14ac:dyDescent="0.25"/>
    <row r="343" s="608" customFormat="1" x14ac:dyDescent="0.25"/>
    <row r="344" s="608" customFormat="1" x14ac:dyDescent="0.25"/>
    <row r="345" s="608" customFormat="1" x14ac:dyDescent="0.25"/>
    <row r="346" s="608" customFormat="1" x14ac:dyDescent="0.25"/>
    <row r="347" s="608" customFormat="1" x14ac:dyDescent="0.25"/>
    <row r="348" s="608" customFormat="1" x14ac:dyDescent="0.25"/>
    <row r="349" s="608" customFormat="1" x14ac:dyDescent="0.25"/>
    <row r="350" s="608" customFormat="1" x14ac:dyDescent="0.25"/>
    <row r="351" s="608" customFormat="1" x14ac:dyDescent="0.25"/>
    <row r="352" s="608" customFormat="1" x14ac:dyDescent="0.25"/>
    <row r="353" s="608" customFormat="1" x14ac:dyDescent="0.25"/>
    <row r="354" s="608" customFormat="1" x14ac:dyDescent="0.25"/>
    <row r="355" s="608" customFormat="1" x14ac:dyDescent="0.25"/>
    <row r="356" s="608" customFormat="1" x14ac:dyDescent="0.25"/>
    <row r="357" s="608" customFormat="1" x14ac:dyDescent="0.25"/>
    <row r="358" s="608" customFormat="1" x14ac:dyDescent="0.25"/>
    <row r="359" s="608" customFormat="1" x14ac:dyDescent="0.25"/>
    <row r="360" s="608" customFormat="1" x14ac:dyDescent="0.25"/>
    <row r="361" s="608" customFormat="1" x14ac:dyDescent="0.25"/>
    <row r="362" s="608" customFormat="1" x14ac:dyDescent="0.25"/>
    <row r="363" s="608" customFormat="1" x14ac:dyDescent="0.25"/>
    <row r="364" s="608" customFormat="1" x14ac:dyDescent="0.25"/>
    <row r="365" s="608" customFormat="1" x14ac:dyDescent="0.25"/>
    <row r="366" s="608" customFormat="1" x14ac:dyDescent="0.25"/>
    <row r="367" s="608" customFormat="1" x14ac:dyDescent="0.25"/>
    <row r="368" s="608" customFormat="1" x14ac:dyDescent="0.25"/>
    <row r="369" s="608" customFormat="1" x14ac:dyDescent="0.25"/>
    <row r="370" s="608" customFormat="1" x14ac:dyDescent="0.25"/>
    <row r="371" s="608" customFormat="1" x14ac:dyDescent="0.25"/>
    <row r="372" s="608" customFormat="1" x14ac:dyDescent="0.25"/>
    <row r="373" s="608" customFormat="1" x14ac:dyDescent="0.25"/>
    <row r="374" s="608" customFormat="1" x14ac:dyDescent="0.25"/>
    <row r="375" s="608" customFormat="1" x14ac:dyDescent="0.25"/>
    <row r="376" s="608" customFormat="1" x14ac:dyDescent="0.25"/>
    <row r="377" s="608" customFormat="1" x14ac:dyDescent="0.25"/>
    <row r="378" s="608" customFormat="1" x14ac:dyDescent="0.25"/>
    <row r="379" s="608" customFormat="1" x14ac:dyDescent="0.25"/>
    <row r="380" s="608" customFormat="1" x14ac:dyDescent="0.25"/>
    <row r="381" s="608" customFormat="1" x14ac:dyDescent="0.25"/>
    <row r="382" s="608" customFormat="1" x14ac:dyDescent="0.25"/>
    <row r="383" s="608" customFormat="1" x14ac:dyDescent="0.25"/>
    <row r="384" s="608" customFormat="1" x14ac:dyDescent="0.25"/>
    <row r="385" s="608" customFormat="1" x14ac:dyDescent="0.25"/>
    <row r="386" s="608" customFormat="1" x14ac:dyDescent="0.25"/>
    <row r="387" s="608" customFormat="1" x14ac:dyDescent="0.25"/>
    <row r="388" s="608" customFormat="1" x14ac:dyDescent="0.25"/>
    <row r="389" s="608" customFormat="1" x14ac:dyDescent="0.25"/>
    <row r="390" s="608" customFormat="1" x14ac:dyDescent="0.25"/>
    <row r="391" s="608" customFormat="1" x14ac:dyDescent="0.25"/>
    <row r="392" s="608" customFormat="1" x14ac:dyDescent="0.25"/>
    <row r="393" s="608" customFormat="1" x14ac:dyDescent="0.25"/>
    <row r="394" s="608" customFormat="1" x14ac:dyDescent="0.25"/>
    <row r="395" s="608" customFormat="1" x14ac:dyDescent="0.25"/>
    <row r="396" s="608" customFormat="1" x14ac:dyDescent="0.25"/>
    <row r="397" s="608" customFormat="1" x14ac:dyDescent="0.25"/>
    <row r="398" s="608" customFormat="1" x14ac:dyDescent="0.25"/>
    <row r="399" s="608" customFormat="1" x14ac:dyDescent="0.25"/>
    <row r="400" s="608" customFormat="1" x14ac:dyDescent="0.25"/>
    <row r="401" s="608" customFormat="1" x14ac:dyDescent="0.25"/>
    <row r="402" s="608" customFormat="1" x14ac:dyDescent="0.25"/>
  </sheetData>
  <sheetProtection algorithmName="SHA-512" hashValue="6lfeXR7/WS07VjfeLZyhnYW46QL2gFGOCcYBVgBCftFqIgnnZqnWf/9gtMAzq3G6Puly3e3pauf+vGKhpGoE/A==" saltValue="ay9nNO/TYC8/je2hgUBZMQ==" spinCount="100000" sheet="1" objects="1" scenarios="1"/>
  <mergeCells count="7">
    <mergeCell ref="B2:N4"/>
    <mergeCell ref="B97:F97"/>
    <mergeCell ref="G14:H14"/>
    <mergeCell ref="I14:K14"/>
    <mergeCell ref="L14:N14"/>
    <mergeCell ref="E14:F14"/>
    <mergeCell ref="B38:F38"/>
  </mergeCells>
  <conditionalFormatting sqref="I59:I95">
    <cfRule type="dataBar" priority="45">
      <dataBar showValue="0">
        <cfvo type="min"/>
        <cfvo type="max"/>
        <color rgb="FFFFC000"/>
      </dataBar>
      <extLst>
        <ext xmlns:x14="http://schemas.microsoft.com/office/spreadsheetml/2009/9/main" uri="{B025F937-C7B1-47D3-B67F-A62EFF666E3E}">
          <x14:id>{461AAC94-5BDD-4BD4-9C55-345B8394B2A5}</x14:id>
        </ext>
      </extLst>
    </cfRule>
    <cfRule type="dataBar" priority="46">
      <dataBar>
        <cfvo type="min"/>
        <cfvo type="max"/>
        <color rgb="FF638EC6"/>
      </dataBar>
      <extLst>
        <ext xmlns:x14="http://schemas.microsoft.com/office/spreadsheetml/2009/9/main" uri="{B025F937-C7B1-47D3-B67F-A62EFF666E3E}">
          <x14:id>{0A3BE398-6A58-4E5D-9386-63E0FB6673FF}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61AAC94-5BDD-4BD4-9C55-345B8394B2A5}">
            <x14:dataBar minLength="0" maxLength="100" gradient="0">
              <x14:cfvo type="autoMin"/>
              <x14:cfvo type="autoMax"/>
              <x14:negativeFillColor rgb="FFFF0000"/>
              <x14:axisColor rgb="FF000000"/>
            </x14:dataBar>
          </x14:cfRule>
          <x14:cfRule type="dataBar" id="{0A3BE398-6A58-4E5D-9386-63E0FB6673FF}">
            <x14:dataBar minLength="0" maxLength="100" gradient="0">
              <x14:cfvo type="autoMin"/>
              <x14:cfvo type="autoMax"/>
              <x14:negativeFillColor rgb="FFFF0000"/>
              <x14:axisColor rgb="FF000000"/>
            </x14:dataBar>
          </x14:cfRule>
          <xm:sqref>I59:I95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6AE7DFD-331C-4F92-A8BC-4240B272DBDE}">
          <x14:formula1>
            <xm:f>Codes!$M$1:$M$6</xm:f>
          </x14:formula1>
          <xm:sqref>C15:C34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AA11-E8B7-4C41-873F-9C729B25B1D9}">
  <sheetPr>
    <tabColor theme="8"/>
  </sheetPr>
  <dimension ref="A1:EM377"/>
  <sheetViews>
    <sheetView tabSelected="1" topLeftCell="A125" zoomScale="80" zoomScaleNormal="80" workbookViewId="0">
      <selection activeCell="G146" sqref="G146"/>
    </sheetView>
  </sheetViews>
  <sheetFormatPr defaultColWidth="9" defaultRowHeight="15" x14ac:dyDescent="0.25"/>
  <cols>
    <col min="1" max="1" width="9.140625" style="198" customWidth="1"/>
    <col min="2" max="2" width="33.140625" style="200" customWidth="1"/>
    <col min="3" max="3" width="20.85546875" style="200" customWidth="1"/>
    <col min="4" max="4" width="24.140625" style="200" customWidth="1"/>
    <col min="5" max="5" width="20.85546875" style="200" customWidth="1"/>
    <col min="6" max="6" width="19.42578125" style="200" bestFit="1" customWidth="1"/>
    <col min="7" max="7" width="21.85546875" style="200" customWidth="1"/>
    <col min="8" max="8" width="19" style="200" customWidth="1"/>
    <col min="9" max="9" width="14.42578125" style="200" bestFit="1" customWidth="1"/>
    <col min="10" max="10" width="28.85546875" style="200" customWidth="1"/>
    <col min="11" max="11" width="29.28515625" style="198" customWidth="1"/>
    <col min="12" max="12" width="16.42578125" style="198" customWidth="1"/>
    <col min="13" max="13" width="16.140625" style="198" customWidth="1"/>
    <col min="14" max="14" width="15.5703125" style="198" customWidth="1"/>
    <col min="15" max="15" width="17" style="198" customWidth="1"/>
    <col min="16" max="16" width="18.140625" style="198" customWidth="1"/>
    <col min="17" max="17" width="16.28515625" style="198" customWidth="1"/>
    <col min="18" max="18" width="16.140625" style="198" customWidth="1"/>
    <col min="19" max="19" width="17.28515625" style="198" customWidth="1"/>
    <col min="20" max="20" width="16" style="198" customWidth="1"/>
    <col min="21" max="21" width="16.28515625" style="198" customWidth="1"/>
    <col min="22" max="22" width="16.5703125" style="198" customWidth="1"/>
    <col min="23" max="23" width="17" style="198" customWidth="1"/>
    <col min="24" max="24" width="15.85546875" style="198" customWidth="1"/>
    <col min="25" max="25" width="15.5703125" style="198" customWidth="1"/>
    <col min="26" max="26" width="15.140625" style="198" customWidth="1"/>
    <col min="27" max="27" width="16.5703125" style="198" customWidth="1"/>
    <col min="28" max="28" width="16.7109375" style="198" customWidth="1"/>
    <col min="29" max="29" width="16" style="198" customWidth="1"/>
    <col min="30" max="30" width="16.7109375" style="198" customWidth="1"/>
    <col min="31" max="31" width="17.28515625" style="198" customWidth="1"/>
    <col min="32" max="32" width="16.28515625" style="198" customWidth="1"/>
    <col min="33" max="33" width="16.42578125" style="198" customWidth="1"/>
    <col min="34" max="34" width="15.7109375" style="198" customWidth="1"/>
    <col min="35" max="35" width="15" style="198" customWidth="1"/>
    <col min="36" max="36" width="15.7109375" style="198" customWidth="1"/>
    <col min="37" max="37" width="16" style="198" customWidth="1"/>
    <col min="38" max="38" width="17" style="198" customWidth="1"/>
    <col min="39" max="39" width="14.7109375" style="198" customWidth="1"/>
    <col min="40" max="40" width="15.42578125" style="198" customWidth="1"/>
    <col min="41" max="41" width="16.140625" style="198" customWidth="1"/>
    <col min="42" max="42" width="15.42578125" style="198" customWidth="1"/>
    <col min="43" max="43" width="14.5703125" style="198" customWidth="1"/>
    <col min="44" max="44" width="15" style="198" customWidth="1"/>
    <col min="45" max="45" width="14.85546875" style="198" customWidth="1"/>
    <col min="46" max="47" width="15.140625" style="198" customWidth="1"/>
    <col min="48" max="48" width="15.42578125" style="198" customWidth="1"/>
    <col min="49" max="49" width="15.5703125" style="198" customWidth="1"/>
    <col min="50" max="50" width="15.7109375" style="198" customWidth="1"/>
    <col min="51" max="51" width="15" style="198" customWidth="1"/>
    <col min="52" max="52" width="15.85546875" style="198" customWidth="1"/>
    <col min="53" max="53" width="14.85546875" style="198" customWidth="1"/>
    <col min="54" max="54" width="15.5703125" style="198" customWidth="1"/>
    <col min="55" max="55" width="16.42578125" style="198" customWidth="1"/>
    <col min="56" max="56" width="15.28515625" style="198" customWidth="1"/>
    <col min="57" max="57" width="15.42578125" style="198" customWidth="1"/>
    <col min="58" max="58" width="15.85546875" style="198" customWidth="1"/>
    <col min="59" max="59" width="15.5703125" style="198" customWidth="1"/>
    <col min="60" max="60" width="15.7109375" style="198" customWidth="1"/>
    <col min="61" max="61" width="16.42578125" style="198" customWidth="1"/>
    <col min="62" max="63" width="15.42578125" style="198" customWidth="1"/>
    <col min="64" max="64" width="15.7109375" style="198" customWidth="1"/>
    <col min="65" max="65" width="14.5703125" style="200" customWidth="1"/>
    <col min="66" max="66" width="9" style="200"/>
    <col min="67" max="143" width="9.140625" style="198" customWidth="1"/>
    <col min="144" max="16384" width="9" style="200"/>
  </cols>
  <sheetData>
    <row r="1" spans="2:66" x14ac:dyDescent="0.25">
      <c r="B1" s="48"/>
      <c r="C1" s="48"/>
      <c r="D1" s="48"/>
      <c r="E1" s="48"/>
      <c r="F1" s="48"/>
      <c r="G1" s="48"/>
      <c r="H1" s="48"/>
      <c r="I1" s="48"/>
      <c r="J1" s="48"/>
      <c r="K1" s="48"/>
      <c r="L1" s="48"/>
      <c r="M1" s="48"/>
      <c r="N1" s="48"/>
      <c r="O1" s="48"/>
      <c r="P1" s="48"/>
      <c r="Q1" s="48"/>
      <c r="R1" s="48"/>
      <c r="S1" s="48"/>
      <c r="T1" s="48"/>
      <c r="U1" s="48"/>
      <c r="BM1" s="198"/>
      <c r="BN1" s="198"/>
    </row>
    <row r="2" spans="2:66" ht="15.75" customHeight="1" x14ac:dyDescent="0.25">
      <c r="B2" s="821" t="s">
        <v>433</v>
      </c>
      <c r="C2" s="821"/>
      <c r="D2" s="821"/>
      <c r="E2" s="821"/>
      <c r="F2" s="821"/>
      <c r="G2" s="821"/>
      <c r="H2" s="821"/>
      <c r="I2" s="821"/>
      <c r="J2" s="821"/>
      <c r="K2" s="349"/>
      <c r="L2" s="349"/>
      <c r="M2" s="349"/>
      <c r="N2" s="349"/>
      <c r="O2" s="349"/>
      <c r="P2" s="325"/>
      <c r="Q2" s="48"/>
      <c r="R2" s="48"/>
      <c r="S2" s="48"/>
      <c r="T2" s="48"/>
      <c r="U2" s="48"/>
      <c r="Y2" s="224"/>
      <c r="Z2" s="225"/>
      <c r="BM2" s="198"/>
      <c r="BN2" s="198"/>
    </row>
    <row r="3" spans="2:66" ht="17.649999999999999" customHeight="1" x14ac:dyDescent="0.25">
      <c r="B3" s="821"/>
      <c r="C3" s="821"/>
      <c r="D3" s="821"/>
      <c r="E3" s="821"/>
      <c r="F3" s="821"/>
      <c r="G3" s="821"/>
      <c r="H3" s="821"/>
      <c r="I3" s="821"/>
      <c r="J3" s="821"/>
      <c r="K3" s="349"/>
      <c r="L3" s="349"/>
      <c r="M3" s="349"/>
      <c r="N3" s="349"/>
      <c r="O3" s="349"/>
      <c r="P3" s="325"/>
      <c r="Q3" s="48"/>
      <c r="R3" s="48"/>
      <c r="S3" s="48"/>
      <c r="T3" s="48"/>
      <c r="U3" s="48"/>
      <c r="Y3" s="226"/>
      <c r="AC3" s="227"/>
      <c r="BM3" s="198"/>
      <c r="BN3" s="198"/>
    </row>
    <row r="4" spans="2:66" x14ac:dyDescent="0.25">
      <c r="B4" s="284"/>
      <c r="C4" s="284"/>
      <c r="D4" s="284"/>
      <c r="E4" s="284"/>
      <c r="F4" s="284"/>
      <c r="G4" s="284"/>
      <c r="H4" s="284"/>
      <c r="I4" s="284"/>
      <c r="J4" s="284"/>
      <c r="K4" s="325"/>
      <c r="L4" s="325"/>
      <c r="M4" s="325"/>
      <c r="N4" s="325"/>
      <c r="O4" s="325"/>
      <c r="P4" s="325"/>
      <c r="Q4" s="48"/>
      <c r="R4" s="48"/>
      <c r="S4" s="48"/>
      <c r="T4" s="48"/>
      <c r="U4" s="48"/>
      <c r="Y4" s="47"/>
      <c r="BM4" s="198"/>
      <c r="BN4" s="198"/>
    </row>
    <row r="5" spans="2:66" x14ac:dyDescent="0.25">
      <c r="B5" s="404" t="s">
        <v>97</v>
      </c>
      <c r="C5" s="405"/>
      <c r="D5" s="405"/>
      <c r="E5" s="405"/>
      <c r="F5" s="405"/>
      <c r="G5" s="405"/>
      <c r="H5" s="405"/>
      <c r="I5" s="405"/>
      <c r="J5" s="406"/>
      <c r="K5" s="325"/>
      <c r="L5" s="325"/>
      <c r="M5" s="325"/>
      <c r="N5" s="325"/>
      <c r="O5" s="325"/>
      <c r="P5" s="325"/>
      <c r="Q5" s="48"/>
      <c r="R5" s="48"/>
      <c r="S5" s="48"/>
      <c r="T5" s="48"/>
      <c r="U5" s="48"/>
      <c r="Y5" s="47"/>
      <c r="BM5" s="198"/>
      <c r="BN5" s="198"/>
    </row>
    <row r="6" spans="2:66" x14ac:dyDescent="0.25">
      <c r="B6" s="57" t="s">
        <v>376</v>
      </c>
      <c r="C6" s="286"/>
      <c r="D6" s="286"/>
      <c r="E6" s="286"/>
      <c r="F6" s="286"/>
      <c r="G6" s="286"/>
      <c r="H6" s="286"/>
      <c r="I6" s="286"/>
      <c r="J6" s="407"/>
      <c r="K6" s="325"/>
      <c r="L6" s="325"/>
      <c r="M6" s="325"/>
      <c r="N6" s="325"/>
      <c r="O6" s="325"/>
      <c r="P6" s="325"/>
      <c r="Q6" s="48"/>
      <c r="R6" s="48"/>
      <c r="S6" s="48"/>
      <c r="T6" s="48"/>
      <c r="U6" s="48"/>
      <c r="Y6" s="47"/>
      <c r="BM6" s="198"/>
      <c r="BN6" s="198"/>
    </row>
    <row r="7" spans="2:66" x14ac:dyDescent="0.25">
      <c r="B7" s="57"/>
      <c r="C7" s="286"/>
      <c r="D7" s="286"/>
      <c r="E7" s="286"/>
      <c r="F7" s="286"/>
      <c r="G7" s="286"/>
      <c r="H7" s="286"/>
      <c r="I7" s="286"/>
      <c r="J7" s="407"/>
      <c r="K7" s="325"/>
      <c r="L7" s="325"/>
      <c r="M7" s="325"/>
      <c r="N7" s="325"/>
      <c r="O7" s="325"/>
      <c r="P7" s="325"/>
      <c r="Q7" s="48"/>
      <c r="R7" s="48"/>
      <c r="S7" s="48"/>
      <c r="T7" s="48"/>
      <c r="U7" s="48"/>
      <c r="Y7" s="47"/>
      <c r="BM7" s="198"/>
      <c r="BN7" s="198"/>
    </row>
    <row r="8" spans="2:66" x14ac:dyDescent="0.25">
      <c r="B8" s="408" t="s">
        <v>178</v>
      </c>
      <c r="C8" s="286"/>
      <c r="D8" s="286"/>
      <c r="E8" s="286"/>
      <c r="F8" s="286"/>
      <c r="G8" s="286"/>
      <c r="H8" s="286"/>
      <c r="I8" s="286"/>
      <c r="J8" s="407"/>
      <c r="K8" s="325"/>
      <c r="L8" s="325"/>
      <c r="M8" s="325"/>
      <c r="N8" s="325"/>
      <c r="O8" s="325"/>
      <c r="P8" s="325"/>
      <c r="Q8" s="48"/>
      <c r="R8" s="48"/>
      <c r="S8" s="48"/>
      <c r="T8" s="48"/>
      <c r="U8" s="48"/>
      <c r="Y8" s="47"/>
      <c r="BM8" s="198"/>
      <c r="BN8" s="198"/>
    </row>
    <row r="9" spans="2:66" x14ac:dyDescent="0.25">
      <c r="B9" s="408" t="s">
        <v>386</v>
      </c>
      <c r="C9" s="286"/>
      <c r="D9" s="286"/>
      <c r="E9" s="286"/>
      <c r="F9" s="286"/>
      <c r="G9" s="286"/>
      <c r="H9" s="286"/>
      <c r="I9" s="286"/>
      <c r="J9" s="407"/>
      <c r="K9" s="325"/>
      <c r="L9" s="325"/>
      <c r="M9" s="325"/>
      <c r="N9" s="325"/>
      <c r="O9" s="325"/>
      <c r="P9" s="325"/>
      <c r="Q9" s="48"/>
      <c r="R9" s="48"/>
      <c r="S9" s="48"/>
      <c r="T9" s="48"/>
      <c r="U9" s="48"/>
      <c r="Y9" s="47"/>
      <c r="BM9" s="198"/>
      <c r="BN9" s="198"/>
    </row>
    <row r="10" spans="2:66" x14ac:dyDescent="0.25">
      <c r="B10" s="408"/>
      <c r="C10" s="286"/>
      <c r="D10" s="286"/>
      <c r="E10" s="286"/>
      <c r="F10" s="286"/>
      <c r="G10" s="286"/>
      <c r="H10" s="286"/>
      <c r="I10" s="286"/>
      <c r="J10" s="407"/>
      <c r="K10" s="325"/>
      <c r="L10" s="325"/>
      <c r="M10" s="325"/>
      <c r="N10" s="325"/>
      <c r="O10" s="325"/>
      <c r="P10" s="325"/>
      <c r="Q10" s="48"/>
      <c r="R10" s="48"/>
      <c r="S10" s="48"/>
      <c r="T10" s="48"/>
      <c r="U10" s="48"/>
      <c r="Y10" s="47"/>
      <c r="BM10" s="198"/>
      <c r="BN10" s="198"/>
    </row>
    <row r="11" spans="2:66" x14ac:dyDescent="0.25">
      <c r="B11" s="605" t="s">
        <v>472</v>
      </c>
      <c r="C11" s="287"/>
      <c r="D11" s="287"/>
      <c r="E11" s="287"/>
      <c r="F11" s="287"/>
      <c r="G11" s="287"/>
      <c r="H11" s="287"/>
      <c r="I11" s="287"/>
      <c r="J11" s="288"/>
      <c r="K11" s="284"/>
      <c r="L11" s="284"/>
      <c r="M11" s="284"/>
      <c r="N11" s="284"/>
      <c r="O11" s="284"/>
      <c r="P11" s="284"/>
      <c r="Y11" s="47"/>
      <c r="BM11" s="198"/>
      <c r="BN11" s="198"/>
    </row>
    <row r="12" spans="2:66" x14ac:dyDescent="0.25">
      <c r="B12" s="284"/>
      <c r="C12" s="284"/>
      <c r="D12" s="284"/>
      <c r="E12" s="284"/>
      <c r="F12" s="284"/>
      <c r="G12" s="284"/>
      <c r="H12" s="284"/>
      <c r="I12" s="284"/>
      <c r="J12" s="284"/>
      <c r="K12" s="284"/>
      <c r="L12" s="284"/>
      <c r="M12" s="284"/>
      <c r="N12" s="284"/>
      <c r="O12" s="284"/>
      <c r="P12" s="284"/>
      <c r="Y12" s="47"/>
      <c r="BM12" s="198"/>
      <c r="BN12" s="198"/>
    </row>
    <row r="13" spans="2:66" x14ac:dyDescent="0.25">
      <c r="B13" s="837" t="s">
        <v>179</v>
      </c>
      <c r="C13" s="837"/>
      <c r="D13" s="837"/>
      <c r="E13" s="837"/>
      <c r="F13" s="837"/>
      <c r="G13" s="837"/>
      <c r="H13" s="837"/>
      <c r="I13" s="837"/>
      <c r="J13" s="837"/>
      <c r="K13" s="284"/>
      <c r="L13" s="284"/>
      <c r="M13" s="284"/>
      <c r="N13" s="284"/>
      <c r="O13" s="284"/>
      <c r="P13" s="284"/>
      <c r="Y13" s="47"/>
      <c r="BM13" s="198"/>
      <c r="BN13" s="198"/>
    </row>
    <row r="14" spans="2:66" ht="15.75" thickBot="1" x14ac:dyDescent="0.3">
      <c r="B14" s="284"/>
      <c r="C14" s="284"/>
      <c r="D14" s="285"/>
      <c r="E14" s="284"/>
      <c r="F14" s="286"/>
      <c r="G14" s="286"/>
      <c r="H14" s="284"/>
      <c r="I14" s="284"/>
      <c r="J14" s="284"/>
      <c r="K14" s="284"/>
      <c r="L14" s="284"/>
      <c r="M14" s="284"/>
      <c r="N14" s="284"/>
      <c r="O14" s="284"/>
      <c r="P14" s="284"/>
      <c r="Y14" s="47"/>
      <c r="BM14" s="198"/>
      <c r="BN14" s="198"/>
    </row>
    <row r="15" spans="2:66" x14ac:dyDescent="0.25">
      <c r="B15" s="839" t="s">
        <v>180</v>
      </c>
      <c r="C15" s="840"/>
      <c r="D15" s="841"/>
      <c r="E15" s="198"/>
      <c r="F15" s="308"/>
      <c r="G15" s="308"/>
      <c r="H15" s="198"/>
      <c r="I15" s="284"/>
      <c r="J15" s="284"/>
      <c r="K15" s="284"/>
      <c r="L15" s="284"/>
      <c r="M15" s="284"/>
      <c r="N15" s="284"/>
      <c r="O15" s="284"/>
      <c r="P15" s="284"/>
      <c r="Y15" s="47"/>
      <c r="BM15" s="198"/>
      <c r="BN15" s="198"/>
    </row>
    <row r="16" spans="2:66" x14ac:dyDescent="0.25">
      <c r="B16" s="504" t="s">
        <v>393</v>
      </c>
      <c r="C16" s="303"/>
      <c r="D16" s="530" t="str">
        <f>IF(F149&lt;=0,"YES",IF(G149&lt;=0,"YES",IF(H149&lt;=0,"YES",IF(I149&lt;=0,"YES",IF(J149&lt;=0,"YES",IF(K149&lt;=0,"YES",IF(L149&lt;=0,"YES",IF(M149&lt;=0,"YES",IF(N149&lt;=0,"YES",IF(O149&lt;=0,"YES",IF(P149&lt;=0,"YES",IF(Q149&lt;=0,"YES",IF(R149&lt;=0,"YES",IF(S149&lt;=0,"YES",IF(T149&lt;=0,"YES",IF(U149&lt;=0,"YES",IF(V149&lt;=0,"YES",IF(W149&lt;=0,"YES",IF(X149&lt;=0,"YES",IF(Y149&lt;=0,"YES",IF(Z149&lt;=0,"YES",IF(AA149&lt;=0,"YES",IF(AB149&lt;=0,"YES",IF(AC149&lt;=0,"YES",IF(AD149&lt;=0,"YES",IF(AE149&lt;=0,"YES",IF(AF149&lt;=0,"YES",IF(AG149&lt;=0,"YES",IF(AH149&lt;=0,"YES",IF(AI149&lt;=0,"YES",IF(AJ149&lt;=0,"YES",IF(AK149&lt;=0,"YES",IF(AL149&lt;=0,"YES",IF(AM149&lt;=0,"YES",IF(AN149&lt;=0,"YES",IF(AO149&lt;=0,"YES",IF(AP149&lt;=0,"YES",IF(AQ149&lt;=0,"YES",IF(AR149&lt;=0,"YES",IF(AS149&lt;=0,"YES",IF(AT149&lt;=0,"YES",IF(AU149&lt;=0,"YES",IF(AV149&lt;=0,"YES",IF(AW149&lt;=0,"YES",IF(AX149&lt;=0,"YES",IF(AY149&lt;=0,"YES",IF(AZ149&lt;=0,"YES",IF(BA149&lt;=0,"YES",IF(BB149&lt;=0,"YES",IF(BC149&lt;=0,"YES",IF(BD149&lt;=0,"YES",IF(BE149&lt;=0,"YES",IF(BF149&lt;=0,"YES",IF(BG149&lt;=0,"YES",IF(BH149&lt;=0,"YES",IF(BI149&lt;=0,"YES",IF(BJ149&lt;=0,"YES",IF(BK149&lt;=0,"YES",IF(BL149&lt;=0,"YES",IF(BM149&lt;=0,"YES","NO"))))))))))))))))))))))))))))))))))))))))))))))))))))))))))))</f>
        <v>YES</v>
      </c>
      <c r="E16" s="198"/>
      <c r="F16" s="293"/>
      <c r="G16" s="293"/>
      <c r="H16" s="198"/>
      <c r="I16" s="284"/>
      <c r="J16" s="284"/>
      <c r="K16" s="284"/>
      <c r="L16" s="284"/>
      <c r="M16" s="284"/>
      <c r="N16" s="284"/>
      <c r="O16" s="284"/>
      <c r="P16" s="284"/>
      <c r="Y16" s="47"/>
      <c r="BM16" s="198"/>
      <c r="BN16" s="198"/>
    </row>
    <row r="17" spans="2:66" x14ac:dyDescent="0.25">
      <c r="B17" s="228" t="s">
        <v>293</v>
      </c>
      <c r="C17" s="68"/>
      <c r="D17" s="229">
        <f>MAX(F153:BM153)</f>
        <v>3328707.9407986109</v>
      </c>
      <c r="E17" s="209"/>
      <c r="F17" s="68"/>
      <c r="G17" s="212"/>
      <c r="H17" s="198"/>
      <c r="I17" s="284"/>
      <c r="J17" s="284"/>
      <c r="K17" s="284"/>
      <c r="L17" s="284"/>
      <c r="M17" s="284"/>
      <c r="N17" s="284"/>
      <c r="O17" s="284"/>
      <c r="P17" s="284"/>
      <c r="Y17" s="47"/>
      <c r="BM17" s="198"/>
      <c r="BN17" s="198"/>
    </row>
    <row r="18" spans="2:66" x14ac:dyDescent="0.25">
      <c r="B18" s="228" t="s">
        <v>294</v>
      </c>
      <c r="C18" s="68"/>
      <c r="D18" s="230">
        <f>_xlfn.XLOOKUP(D17,F153:BM153,F117:BM117)</f>
        <v>26</v>
      </c>
      <c r="E18" s="209"/>
      <c r="F18" s="68"/>
      <c r="G18" s="500"/>
      <c r="H18" s="198"/>
      <c r="I18" s="284"/>
      <c r="J18" s="284"/>
      <c r="K18" s="284"/>
      <c r="L18" s="284"/>
      <c r="M18" s="284"/>
      <c r="N18" s="284"/>
      <c r="O18" s="284"/>
      <c r="P18" s="284"/>
      <c r="Y18" s="47"/>
      <c r="BM18" s="198"/>
      <c r="BN18" s="198"/>
    </row>
    <row r="19" spans="2:66" ht="15.75" thickBot="1" x14ac:dyDescent="0.3">
      <c r="B19" s="505" t="s">
        <v>181</v>
      </c>
      <c r="C19" s="506"/>
      <c r="D19" s="507">
        <f>_xlfn.XLOOKUP('Detailed Feasibility'!D50,'Detailed Feasibility'!$F$117:$BM$117,'Detailed Feasibility'!$F$153:$BM$153)</f>
        <v>3328707.9407986109</v>
      </c>
      <c r="E19" s="209"/>
      <c r="F19" s="68"/>
      <c r="G19" s="212"/>
      <c r="H19" s="198"/>
      <c r="I19" s="284"/>
      <c r="J19" s="284"/>
      <c r="K19" s="284"/>
      <c r="L19" s="284"/>
      <c r="M19" s="284"/>
      <c r="N19" s="284"/>
      <c r="O19" s="284"/>
      <c r="P19" s="284"/>
      <c r="Y19" s="47"/>
      <c r="BM19" s="198"/>
      <c r="BN19" s="198"/>
    </row>
    <row r="20" spans="2:66" x14ac:dyDescent="0.25">
      <c r="B20" s="284"/>
      <c r="C20" s="284"/>
      <c r="D20" s="285"/>
      <c r="E20" s="284"/>
      <c r="F20" s="284"/>
      <c r="G20" s="284"/>
      <c r="H20" s="284"/>
      <c r="I20" s="284"/>
      <c r="J20" s="284"/>
      <c r="K20" s="284"/>
      <c r="L20" s="284"/>
      <c r="M20" s="284"/>
      <c r="N20" s="284"/>
      <c r="O20" s="284"/>
      <c r="P20" s="284"/>
      <c r="Y20" s="47"/>
      <c r="BM20" s="198"/>
      <c r="BN20" s="198"/>
    </row>
    <row r="21" spans="2:66" x14ac:dyDescent="0.25">
      <c r="B21" s="838" t="s">
        <v>402</v>
      </c>
      <c r="C21" s="838"/>
      <c r="D21" s="838"/>
      <c r="E21" s="838"/>
      <c r="F21" s="838"/>
      <c r="G21" s="838"/>
      <c r="H21" s="838"/>
      <c r="I21" s="838"/>
      <c r="J21" s="838"/>
      <c r="K21" s="284"/>
      <c r="L21" s="284"/>
      <c r="M21" s="284"/>
      <c r="N21" s="284"/>
      <c r="O21" s="284"/>
      <c r="P21" s="284"/>
      <c r="Y21" s="47"/>
      <c r="BM21" s="198"/>
      <c r="BN21" s="198"/>
    </row>
    <row r="22" spans="2:66" x14ac:dyDescent="0.25">
      <c r="B22" s="284"/>
      <c r="C22" s="284"/>
      <c r="D22" s="285"/>
      <c r="E22" s="284"/>
      <c r="F22" s="284"/>
      <c r="G22" s="284"/>
      <c r="H22" s="284"/>
      <c r="I22" s="284"/>
      <c r="J22" s="284"/>
      <c r="K22" s="284"/>
      <c r="L22" s="284"/>
      <c r="M22" s="284"/>
      <c r="N22" s="284"/>
      <c r="O22" s="284"/>
      <c r="P22" s="284"/>
      <c r="Y22" s="47"/>
      <c r="BM22" s="198"/>
      <c r="BN22" s="198"/>
    </row>
    <row r="23" spans="2:66" x14ac:dyDescent="0.25">
      <c r="B23" s="284"/>
      <c r="C23" s="284"/>
      <c r="D23" s="285"/>
      <c r="E23" s="284"/>
      <c r="F23" s="284"/>
      <c r="G23" s="284"/>
      <c r="H23" s="284"/>
      <c r="I23" s="284"/>
      <c r="J23" s="284"/>
      <c r="K23" s="284"/>
      <c r="L23" s="284"/>
      <c r="M23" s="284"/>
      <c r="N23" s="284"/>
      <c r="O23" s="284"/>
      <c r="P23" s="284"/>
      <c r="Y23" s="47"/>
      <c r="BM23" s="198"/>
      <c r="BN23" s="198"/>
    </row>
    <row r="24" spans="2:66" x14ac:dyDescent="0.25">
      <c r="B24" s="284"/>
      <c r="C24" s="284"/>
      <c r="D24" s="285"/>
      <c r="E24" s="284"/>
      <c r="F24" s="284"/>
      <c r="G24" s="284"/>
      <c r="H24" s="284"/>
      <c r="I24" s="284"/>
      <c r="J24" s="284"/>
      <c r="K24" s="284"/>
      <c r="L24" s="284"/>
      <c r="M24" s="284"/>
      <c r="N24" s="284"/>
      <c r="O24" s="284"/>
      <c r="P24" s="284"/>
      <c r="Y24" s="47"/>
      <c r="BM24" s="198"/>
      <c r="BN24" s="198"/>
    </row>
    <row r="25" spans="2:66" x14ac:dyDescent="0.25">
      <c r="B25" s="284"/>
      <c r="C25" s="284"/>
      <c r="D25" s="285"/>
      <c r="E25" s="284"/>
      <c r="F25" s="284"/>
      <c r="G25" s="284"/>
      <c r="H25" s="284"/>
      <c r="I25" s="284"/>
      <c r="J25" s="284"/>
      <c r="K25" s="284"/>
      <c r="L25" s="284"/>
      <c r="M25" s="284"/>
      <c r="N25" s="284"/>
      <c r="O25" s="284"/>
      <c r="P25" s="284"/>
      <c r="Y25" s="47"/>
      <c r="BM25" s="198"/>
      <c r="BN25" s="198"/>
    </row>
    <row r="26" spans="2:66" x14ac:dyDescent="0.25">
      <c r="B26" s="284"/>
      <c r="C26" s="284"/>
      <c r="D26" s="285"/>
      <c r="E26" s="284"/>
      <c r="F26" s="284"/>
      <c r="G26" s="284"/>
      <c r="H26" s="284"/>
      <c r="I26" s="284"/>
      <c r="J26" s="284"/>
      <c r="K26" s="284"/>
      <c r="L26" s="284"/>
      <c r="M26" s="284"/>
      <c r="N26" s="284"/>
      <c r="O26" s="284"/>
      <c r="P26" s="284"/>
      <c r="Y26" s="47"/>
      <c r="BM26" s="198"/>
      <c r="BN26" s="198"/>
    </row>
    <row r="27" spans="2:66" x14ac:dyDescent="0.25">
      <c r="B27" s="284"/>
      <c r="C27" s="284"/>
      <c r="D27" s="285"/>
      <c r="E27" s="284"/>
      <c r="F27" s="284"/>
      <c r="G27" s="284"/>
      <c r="H27" s="284"/>
      <c r="I27" s="284"/>
      <c r="J27" s="284"/>
      <c r="K27" s="284"/>
      <c r="L27" s="284"/>
      <c r="M27" s="284"/>
      <c r="N27" s="284"/>
      <c r="O27" s="284"/>
      <c r="P27" s="284"/>
      <c r="Y27" s="47"/>
      <c r="BM27" s="198"/>
      <c r="BN27" s="198"/>
    </row>
    <row r="28" spans="2:66" x14ac:dyDescent="0.25">
      <c r="B28" s="284"/>
      <c r="C28" s="284"/>
      <c r="D28" s="285"/>
      <c r="E28" s="284"/>
      <c r="F28" s="284"/>
      <c r="G28" s="284"/>
      <c r="H28" s="284"/>
      <c r="I28" s="284"/>
      <c r="J28" s="284"/>
      <c r="K28" s="284"/>
      <c r="L28" s="284"/>
      <c r="M28" s="284"/>
      <c r="N28" s="284"/>
      <c r="O28" s="284"/>
      <c r="P28" s="284"/>
      <c r="Y28" s="47"/>
      <c r="BM28" s="198"/>
      <c r="BN28" s="198"/>
    </row>
    <row r="29" spans="2:66" x14ac:dyDescent="0.25">
      <c r="B29" s="284"/>
      <c r="C29" s="284"/>
      <c r="D29" s="285"/>
      <c r="E29" s="284"/>
      <c r="F29" s="284"/>
      <c r="G29" s="284"/>
      <c r="H29" s="284"/>
      <c r="I29" s="284"/>
      <c r="J29" s="284"/>
      <c r="K29" s="284"/>
      <c r="L29" s="284"/>
      <c r="M29" s="284"/>
      <c r="N29" s="284"/>
      <c r="O29" s="284"/>
      <c r="P29" s="284"/>
      <c r="Y29" s="47"/>
      <c r="BM29" s="198"/>
      <c r="BN29" s="198"/>
    </row>
    <row r="30" spans="2:66" x14ac:dyDescent="0.25">
      <c r="B30" s="284"/>
      <c r="C30" s="284"/>
      <c r="D30" s="285"/>
      <c r="E30" s="284"/>
      <c r="F30" s="284"/>
      <c r="G30" s="284"/>
      <c r="H30" s="284"/>
      <c r="I30" s="284"/>
      <c r="J30" s="284"/>
      <c r="K30" s="284"/>
      <c r="L30" s="284"/>
      <c r="M30" s="284"/>
      <c r="N30" s="284"/>
      <c r="O30" s="284"/>
      <c r="P30" s="284"/>
      <c r="Y30" s="47"/>
      <c r="BM30" s="198"/>
      <c r="BN30" s="198"/>
    </row>
    <row r="31" spans="2:66" x14ac:dyDescent="0.25">
      <c r="B31" s="284"/>
      <c r="C31" s="284"/>
      <c r="D31" s="285"/>
      <c r="E31" s="284"/>
      <c r="F31" s="284"/>
      <c r="G31" s="284"/>
      <c r="H31" s="284"/>
      <c r="I31" s="284"/>
      <c r="J31" s="284"/>
      <c r="K31" s="284"/>
      <c r="L31" s="284"/>
      <c r="M31" s="284"/>
      <c r="N31" s="284"/>
      <c r="O31" s="284"/>
      <c r="P31" s="284"/>
      <c r="Y31" s="47"/>
      <c r="BM31" s="198"/>
      <c r="BN31" s="198"/>
    </row>
    <row r="32" spans="2:66" x14ac:dyDescent="0.25">
      <c r="B32" s="284"/>
      <c r="C32" s="284"/>
      <c r="D32" s="285"/>
      <c r="E32" s="284"/>
      <c r="F32" s="284"/>
      <c r="G32" s="284"/>
      <c r="H32" s="284"/>
      <c r="I32" s="284"/>
      <c r="J32" s="284"/>
      <c r="K32" s="284"/>
      <c r="L32" s="284"/>
      <c r="M32" s="284"/>
      <c r="N32" s="284"/>
      <c r="O32" s="284"/>
      <c r="P32" s="284"/>
      <c r="Y32" s="47"/>
      <c r="BM32" s="198"/>
      <c r="BN32" s="198"/>
    </row>
    <row r="33" spans="2:66" x14ac:dyDescent="0.25">
      <c r="B33" s="284"/>
      <c r="C33" s="284"/>
      <c r="D33" s="285"/>
      <c r="E33" s="284"/>
      <c r="F33" s="284"/>
      <c r="G33" s="284"/>
      <c r="H33" s="284"/>
      <c r="I33" s="284"/>
      <c r="J33" s="284"/>
      <c r="K33" s="284"/>
      <c r="L33" s="284"/>
      <c r="M33" s="284"/>
      <c r="N33" s="284"/>
      <c r="O33" s="284"/>
      <c r="P33" s="284"/>
      <c r="Y33" s="47"/>
      <c r="BM33" s="198"/>
      <c r="BN33" s="198"/>
    </row>
    <row r="34" spans="2:66" x14ac:dyDescent="0.25">
      <c r="B34" s="284"/>
      <c r="C34" s="284"/>
      <c r="D34" s="285"/>
      <c r="E34" s="284"/>
      <c r="F34" s="284"/>
      <c r="G34" s="284"/>
      <c r="H34" s="284"/>
      <c r="I34" s="284"/>
      <c r="J34" s="284"/>
      <c r="K34" s="284"/>
      <c r="L34" s="284"/>
      <c r="M34" s="284"/>
      <c r="N34" s="284"/>
      <c r="O34" s="284"/>
      <c r="P34" s="284"/>
      <c r="Y34" s="47"/>
      <c r="BM34" s="198"/>
      <c r="BN34" s="198"/>
    </row>
    <row r="35" spans="2:66" x14ac:dyDescent="0.25">
      <c r="B35" s="284"/>
      <c r="C35" s="284"/>
      <c r="D35" s="285"/>
      <c r="E35" s="284"/>
      <c r="F35" s="284"/>
      <c r="G35" s="284"/>
      <c r="H35" s="284"/>
      <c r="I35" s="284"/>
      <c r="J35" s="284"/>
      <c r="K35" s="284"/>
      <c r="L35" s="284"/>
      <c r="M35" s="284"/>
      <c r="N35" s="284"/>
      <c r="O35" s="284"/>
      <c r="P35" s="284"/>
      <c r="Y35" s="47"/>
      <c r="BM35" s="198"/>
      <c r="BN35" s="198"/>
    </row>
    <row r="36" spans="2:66" x14ac:dyDescent="0.25">
      <c r="B36" s="284"/>
      <c r="C36" s="284"/>
      <c r="D36" s="285"/>
      <c r="E36" s="284"/>
      <c r="F36" s="284"/>
      <c r="G36" s="284"/>
      <c r="H36" s="284"/>
      <c r="I36" s="284"/>
      <c r="J36" s="284"/>
      <c r="K36" s="284"/>
      <c r="L36" s="284"/>
      <c r="M36" s="284"/>
      <c r="N36" s="284"/>
      <c r="O36" s="284"/>
      <c r="P36" s="284"/>
      <c r="Y36" s="47"/>
      <c r="BM36" s="198"/>
      <c r="BN36" s="198"/>
    </row>
    <row r="37" spans="2:66" x14ac:dyDescent="0.25">
      <c r="B37" s="284"/>
      <c r="C37" s="284"/>
      <c r="D37" s="285"/>
      <c r="E37" s="284"/>
      <c r="F37" s="284"/>
      <c r="G37" s="284"/>
      <c r="H37" s="284"/>
      <c r="I37" s="284"/>
      <c r="J37" s="284"/>
      <c r="K37" s="284"/>
      <c r="L37" s="284"/>
      <c r="M37" s="284"/>
      <c r="N37" s="284"/>
      <c r="O37" s="284"/>
      <c r="P37" s="284"/>
      <c r="Y37" s="47"/>
      <c r="BM37" s="198"/>
      <c r="BN37" s="198"/>
    </row>
    <row r="38" spans="2:66" x14ac:dyDescent="0.25">
      <c r="B38" s="284"/>
      <c r="C38" s="284"/>
      <c r="D38" s="285"/>
      <c r="E38" s="284"/>
      <c r="F38" s="284"/>
      <c r="G38" s="284"/>
      <c r="H38" s="284"/>
      <c r="I38" s="284"/>
      <c r="J38" s="284"/>
      <c r="K38" s="284"/>
      <c r="L38" s="284"/>
      <c r="M38" s="284"/>
      <c r="N38" s="284"/>
      <c r="O38" s="284"/>
      <c r="P38" s="284"/>
      <c r="Y38" s="47"/>
      <c r="BM38" s="198"/>
      <c r="BN38" s="198"/>
    </row>
    <row r="39" spans="2:66" x14ac:dyDescent="0.25">
      <c r="B39" s="284"/>
      <c r="C39" s="284"/>
      <c r="D39" s="285"/>
      <c r="E39" s="284"/>
      <c r="F39" s="284"/>
      <c r="G39" s="284"/>
      <c r="H39" s="284"/>
      <c r="I39" s="284"/>
      <c r="J39" s="284"/>
      <c r="K39" s="284"/>
      <c r="L39" s="284"/>
      <c r="M39" s="284"/>
      <c r="N39" s="284"/>
      <c r="O39" s="284"/>
      <c r="P39" s="284"/>
      <c r="Y39" s="47"/>
      <c r="BM39" s="198"/>
      <c r="BN39" s="198"/>
    </row>
    <row r="40" spans="2:66" x14ac:dyDescent="0.25">
      <c r="B40" s="284"/>
      <c r="C40" s="284"/>
      <c r="D40" s="285"/>
      <c r="E40" s="284"/>
      <c r="F40" s="284"/>
      <c r="G40" s="284"/>
      <c r="H40" s="284"/>
      <c r="I40" s="284"/>
      <c r="J40" s="284"/>
      <c r="K40" s="284"/>
      <c r="L40" s="284"/>
      <c r="M40" s="284"/>
      <c r="N40" s="284"/>
      <c r="O40" s="284"/>
      <c r="P40" s="284"/>
      <c r="Y40" s="47"/>
      <c r="BM40" s="198"/>
      <c r="BN40" s="198"/>
    </row>
    <row r="41" spans="2:66" x14ac:dyDescent="0.25">
      <c r="B41" s="284"/>
      <c r="C41" s="284"/>
      <c r="D41" s="285"/>
      <c r="E41" s="284"/>
      <c r="F41" s="284"/>
      <c r="G41" s="284"/>
      <c r="H41" s="284"/>
      <c r="I41" s="284"/>
      <c r="J41" s="284"/>
      <c r="K41" s="284"/>
      <c r="L41" s="284"/>
      <c r="M41" s="284"/>
      <c r="N41" s="284"/>
      <c r="O41" s="284"/>
      <c r="P41" s="284"/>
      <c r="Y41" s="47"/>
      <c r="BM41" s="198"/>
      <c r="BN41" s="198"/>
    </row>
    <row r="42" spans="2:66" x14ac:dyDescent="0.25">
      <c r="B42" s="284"/>
      <c r="C42" s="284"/>
      <c r="D42" s="285"/>
      <c r="E42" s="284"/>
      <c r="F42" s="284"/>
      <c r="G42" s="284"/>
      <c r="H42" s="284"/>
      <c r="I42" s="284"/>
      <c r="J42" s="284"/>
      <c r="K42" s="284"/>
      <c r="L42" s="284"/>
      <c r="M42" s="284"/>
      <c r="N42" s="284"/>
      <c r="O42" s="284"/>
      <c r="P42" s="284"/>
      <c r="Y42" s="47"/>
      <c r="BM42" s="198"/>
      <c r="BN42" s="198"/>
    </row>
    <row r="43" spans="2:66" x14ac:dyDescent="0.25">
      <c r="B43" s="284"/>
      <c r="C43" s="284"/>
      <c r="D43" s="285"/>
      <c r="E43" s="284"/>
      <c r="F43" s="284"/>
      <c r="G43" s="284"/>
      <c r="H43" s="284"/>
      <c r="I43" s="284"/>
      <c r="J43" s="284"/>
      <c r="K43" s="284"/>
      <c r="L43" s="284"/>
      <c r="M43" s="284"/>
      <c r="N43" s="284"/>
      <c r="O43" s="284"/>
      <c r="P43" s="284"/>
      <c r="Y43" s="47"/>
      <c r="BM43" s="198"/>
      <c r="BN43" s="198"/>
    </row>
    <row r="44" spans="2:66" x14ac:dyDescent="0.25">
      <c r="B44" s="837" t="s">
        <v>403</v>
      </c>
      <c r="C44" s="837"/>
      <c r="D44" s="837"/>
      <c r="E44" s="837"/>
      <c r="F44" s="837"/>
      <c r="G44" s="837"/>
      <c r="H44" s="837"/>
      <c r="I44" s="837"/>
      <c r="J44" s="837"/>
      <c r="K44" s="284"/>
      <c r="L44" s="284"/>
      <c r="M44" s="284"/>
      <c r="N44" s="284"/>
      <c r="O44" s="284"/>
      <c r="P44" s="284"/>
      <c r="Y44" s="47"/>
      <c r="BM44" s="198"/>
      <c r="BN44" s="198"/>
    </row>
    <row r="45" spans="2:66" x14ac:dyDescent="0.25">
      <c r="B45" s="284"/>
      <c r="C45" s="284"/>
      <c r="D45" s="285"/>
      <c r="E45" s="284"/>
      <c r="F45" s="284"/>
      <c r="G45" s="284"/>
      <c r="H45" s="284"/>
      <c r="I45" s="284"/>
      <c r="J45" s="284"/>
      <c r="K45" s="284"/>
      <c r="L45" s="284"/>
      <c r="M45" s="284"/>
      <c r="N45" s="284"/>
      <c r="O45" s="284"/>
      <c r="P45" s="284"/>
      <c r="Y45" s="47"/>
      <c r="BM45" s="198"/>
      <c r="BN45" s="198"/>
    </row>
    <row r="46" spans="2:66" x14ac:dyDescent="0.25">
      <c r="B46" s="294" t="s">
        <v>290</v>
      </c>
      <c r="C46" s="284"/>
      <c r="D46" s="285"/>
      <c r="E46" s="284"/>
      <c r="F46" s="284"/>
      <c r="G46" s="284"/>
      <c r="H46" s="284"/>
      <c r="I46" s="284"/>
      <c r="J46" s="284"/>
      <c r="K46" s="284"/>
      <c r="L46" s="284"/>
      <c r="M46" s="284"/>
      <c r="N46" s="284"/>
      <c r="O46" s="284"/>
      <c r="P46" s="284"/>
      <c r="Y46" s="47"/>
      <c r="BM46" s="198"/>
      <c r="BN46" s="198"/>
    </row>
    <row r="47" spans="2:66" x14ac:dyDescent="0.25">
      <c r="B47" s="284"/>
      <c r="C47" s="284"/>
      <c r="D47" s="285"/>
      <c r="E47" s="284"/>
      <c r="F47" s="284"/>
      <c r="G47" s="284"/>
      <c r="H47" s="284"/>
      <c r="I47" s="284"/>
      <c r="J47" s="284"/>
      <c r="K47" s="284"/>
      <c r="L47" s="284"/>
      <c r="M47" s="284"/>
      <c r="N47" s="284"/>
      <c r="O47" s="284"/>
      <c r="P47" s="284"/>
      <c r="Y47" s="47"/>
      <c r="BM47" s="198"/>
      <c r="BN47" s="198"/>
    </row>
    <row r="48" spans="2:66" x14ac:dyDescent="0.25">
      <c r="B48" s="341" t="s">
        <v>98</v>
      </c>
      <c r="C48" s="342"/>
      <c r="D48" s="343">
        <v>44470</v>
      </c>
      <c r="E48" s="284"/>
      <c r="F48" s="284"/>
      <c r="G48" s="284"/>
      <c r="H48" s="284"/>
      <c r="I48" s="284"/>
      <c r="J48" s="284"/>
      <c r="K48" s="284"/>
      <c r="L48" s="284"/>
      <c r="M48" s="284"/>
      <c r="N48" s="284"/>
      <c r="O48" s="284"/>
      <c r="P48" s="284"/>
      <c r="Y48" s="47"/>
      <c r="BM48" s="198"/>
      <c r="BN48" s="198"/>
    </row>
    <row r="49" spans="2:66" x14ac:dyDescent="0.25">
      <c r="B49" s="341" t="s">
        <v>99</v>
      </c>
      <c r="C49" s="342"/>
      <c r="D49" s="343">
        <v>45231</v>
      </c>
      <c r="E49" s="284"/>
      <c r="F49" s="284"/>
      <c r="G49" s="284"/>
      <c r="H49" s="284"/>
      <c r="I49" s="284"/>
      <c r="J49" s="284"/>
      <c r="K49" s="284"/>
      <c r="L49" s="284"/>
      <c r="M49" s="284"/>
      <c r="N49" s="284"/>
      <c r="O49" s="284"/>
      <c r="P49" s="284"/>
      <c r="Y49" s="47"/>
      <c r="BM49" s="198"/>
      <c r="BN49" s="198"/>
    </row>
    <row r="50" spans="2:66" x14ac:dyDescent="0.25">
      <c r="B50" s="341" t="s">
        <v>100</v>
      </c>
      <c r="C50" s="344"/>
      <c r="D50" s="345">
        <f>DATEDIF(D48,D49,"M")+1</f>
        <v>26</v>
      </c>
      <c r="E50" s="284"/>
      <c r="F50" s="284"/>
      <c r="G50" s="284"/>
      <c r="H50" s="284"/>
      <c r="I50" s="284"/>
      <c r="J50" s="284"/>
      <c r="K50" s="284"/>
      <c r="L50" s="284"/>
      <c r="M50" s="284"/>
      <c r="N50" s="284"/>
      <c r="O50" s="284"/>
      <c r="P50" s="284"/>
      <c r="Y50" s="47"/>
      <c r="BM50" s="198"/>
      <c r="BN50" s="198"/>
    </row>
    <row r="51" spans="2:66" x14ac:dyDescent="0.25">
      <c r="B51" s="284"/>
      <c r="C51" s="284"/>
      <c r="D51" s="285"/>
      <c r="E51" s="284"/>
      <c r="F51" s="284"/>
      <c r="G51" s="284"/>
      <c r="H51" s="284"/>
      <c r="I51" s="284"/>
      <c r="J51" s="284"/>
      <c r="K51" s="284"/>
      <c r="L51" s="284"/>
      <c r="M51" s="284"/>
      <c r="N51" s="284"/>
      <c r="O51" s="284"/>
      <c r="P51" s="284"/>
      <c r="Y51" s="47"/>
      <c r="BM51" s="198"/>
      <c r="BN51" s="198"/>
    </row>
    <row r="52" spans="2:66" x14ac:dyDescent="0.25">
      <c r="B52" s="223" t="s">
        <v>182</v>
      </c>
      <c r="C52" s="284"/>
      <c r="D52" s="285"/>
      <c r="E52" s="284"/>
      <c r="F52" s="284"/>
      <c r="G52" s="284"/>
      <c r="H52" s="284"/>
      <c r="I52" s="284"/>
      <c r="J52" s="284"/>
      <c r="K52" s="284"/>
      <c r="L52" s="284"/>
      <c r="M52" s="284"/>
      <c r="N52" s="284"/>
      <c r="O52" s="284"/>
      <c r="P52" s="284"/>
      <c r="Y52" s="47"/>
      <c r="BM52" s="198"/>
      <c r="BN52" s="198"/>
    </row>
    <row r="53" spans="2:66" x14ac:dyDescent="0.25">
      <c r="B53" s="284"/>
      <c r="C53" s="284"/>
      <c r="D53" s="285"/>
      <c r="E53" s="284"/>
      <c r="F53" s="284"/>
      <c r="G53" s="284"/>
      <c r="H53" s="284"/>
      <c r="I53" s="284"/>
      <c r="J53" s="284"/>
      <c r="K53" s="284"/>
      <c r="L53" s="284"/>
      <c r="M53" s="284"/>
      <c r="N53" s="284"/>
      <c r="O53" s="284"/>
      <c r="P53" s="284"/>
      <c r="Y53" s="47"/>
      <c r="BM53" s="198"/>
      <c r="BN53" s="198"/>
    </row>
    <row r="54" spans="2:66" x14ac:dyDescent="0.25">
      <c r="B54" s="252" t="s">
        <v>183</v>
      </c>
      <c r="C54" s="318" t="s">
        <v>184</v>
      </c>
      <c r="D54" s="319" t="s">
        <v>185</v>
      </c>
      <c r="E54" s="284"/>
      <c r="F54" s="284"/>
      <c r="G54" s="284"/>
      <c r="H54" s="284"/>
      <c r="I54" s="284"/>
      <c r="J54" s="284"/>
      <c r="K54" s="284"/>
      <c r="L54" s="284"/>
      <c r="M54" s="284"/>
      <c r="N54" s="284"/>
      <c r="O54" s="284"/>
      <c r="P54" s="284"/>
      <c r="Y54" s="47"/>
      <c r="BM54" s="198"/>
      <c r="BN54" s="198"/>
    </row>
    <row r="55" spans="2:66" x14ac:dyDescent="0.25">
      <c r="B55" s="208" t="s">
        <v>186</v>
      </c>
      <c r="C55" s="247">
        <v>1</v>
      </c>
      <c r="D55" s="231"/>
      <c r="E55" s="284"/>
      <c r="F55" s="284"/>
      <c r="G55" s="284"/>
      <c r="H55" s="284"/>
      <c r="I55" s="284"/>
      <c r="J55" s="284"/>
      <c r="K55" s="284"/>
      <c r="L55" s="284"/>
      <c r="M55" s="284"/>
      <c r="N55" s="284"/>
      <c r="O55" s="284"/>
      <c r="P55" s="284"/>
      <c r="Y55" s="47"/>
      <c r="BM55" s="198"/>
      <c r="BN55" s="198"/>
    </row>
    <row r="56" spans="2:66" x14ac:dyDescent="0.25">
      <c r="B56" s="208" t="str">
        <f>'Detailed Feasibility Inputs'!B57</f>
        <v>Site Civils &amp; Infrastructure</v>
      </c>
      <c r="C56" s="247">
        <v>6</v>
      </c>
      <c r="D56" s="232">
        <v>12</v>
      </c>
      <c r="E56" s="284"/>
      <c r="F56" s="284"/>
      <c r="G56" s="284"/>
      <c r="H56" s="284"/>
      <c r="I56" s="284"/>
      <c r="J56" s="284"/>
      <c r="K56" s="284"/>
      <c r="L56" s="284"/>
      <c r="M56" s="284"/>
      <c r="N56" s="284"/>
      <c r="O56" s="284"/>
      <c r="P56" s="284"/>
      <c r="Y56" s="47"/>
      <c r="BM56" s="198"/>
      <c r="BN56" s="198"/>
    </row>
    <row r="57" spans="2:66" x14ac:dyDescent="0.25">
      <c r="B57" s="208" t="str">
        <f>'Detailed Feasibility Inputs'!B72</f>
        <v>Professional Fees</v>
      </c>
      <c r="C57" s="247">
        <v>3</v>
      </c>
      <c r="D57" s="232">
        <v>20</v>
      </c>
      <c r="E57" s="284"/>
      <c r="F57" s="284"/>
      <c r="G57" s="284"/>
      <c r="H57" s="284"/>
      <c r="I57" s="284"/>
      <c r="J57" s="284"/>
      <c r="K57" s="284"/>
      <c r="L57" s="284"/>
      <c r="M57" s="284"/>
      <c r="N57" s="284"/>
      <c r="O57" s="284"/>
      <c r="P57" s="284"/>
      <c r="Y57" s="47"/>
      <c r="BM57" s="198"/>
      <c r="BN57" s="198"/>
    </row>
    <row r="58" spans="2:66" x14ac:dyDescent="0.25">
      <c r="B58" s="233" t="str">
        <f>'Detailed Feasibility Inputs'!B86</f>
        <v>Council Costs</v>
      </c>
      <c r="C58" s="234">
        <v>3</v>
      </c>
      <c r="D58" s="235">
        <v>20</v>
      </c>
      <c r="E58" s="284"/>
      <c r="F58" s="284"/>
      <c r="G58" s="284"/>
      <c r="H58" s="284"/>
      <c r="I58" s="284"/>
      <c r="J58" s="284"/>
      <c r="K58" s="285"/>
      <c r="L58" s="285"/>
      <c r="M58" s="285"/>
      <c r="N58" s="285"/>
      <c r="O58" s="285"/>
      <c r="P58" s="285"/>
      <c r="Q58" s="43"/>
      <c r="Y58" s="47"/>
      <c r="BM58" s="198"/>
      <c r="BN58" s="198"/>
    </row>
    <row r="59" spans="2:66" x14ac:dyDescent="0.25">
      <c r="B59" s="284"/>
      <c r="C59" s="284"/>
      <c r="D59" s="285"/>
      <c r="E59" s="284"/>
      <c r="F59" s="284"/>
      <c r="G59" s="284"/>
      <c r="H59" s="325"/>
      <c r="I59" s="325"/>
      <c r="J59" s="325"/>
      <c r="K59" s="325"/>
      <c r="L59" s="325"/>
      <c r="M59" s="325"/>
      <c r="N59" s="325"/>
      <c r="O59" s="325"/>
      <c r="P59" s="325"/>
      <c r="Q59" s="43"/>
      <c r="R59" s="43"/>
      <c r="S59" s="43"/>
      <c r="Y59" s="47"/>
      <c r="BM59" s="198"/>
      <c r="BN59" s="198"/>
    </row>
    <row r="60" spans="2:66" x14ac:dyDescent="0.25">
      <c r="B60" s="223" t="s">
        <v>187</v>
      </c>
      <c r="C60" s="284"/>
      <c r="D60" s="285"/>
      <c r="E60" s="284"/>
      <c r="F60" s="284"/>
      <c r="G60" s="284"/>
      <c r="H60" s="325"/>
      <c r="I60" s="325"/>
      <c r="J60" s="325"/>
      <c r="K60" s="325"/>
      <c r="L60" s="325"/>
      <c r="M60" s="325"/>
      <c r="N60" s="325"/>
      <c r="O60" s="325"/>
      <c r="P60" s="325"/>
      <c r="Q60" s="43"/>
      <c r="R60" s="43"/>
      <c r="S60" s="43"/>
      <c r="Y60" s="47"/>
      <c r="BM60" s="198"/>
      <c r="BN60" s="198"/>
    </row>
    <row r="61" spans="2:66" x14ac:dyDescent="0.25">
      <c r="B61" s="284"/>
      <c r="C61" s="284"/>
      <c r="D61" s="285"/>
      <c r="E61" s="284"/>
      <c r="F61" s="284"/>
      <c r="G61" s="284"/>
      <c r="H61" s="325"/>
      <c r="I61" s="325"/>
      <c r="J61" s="325"/>
      <c r="K61" s="325"/>
      <c r="L61" s="325"/>
      <c r="M61" s="325"/>
      <c r="N61" s="325"/>
      <c r="O61" s="325"/>
      <c r="P61" s="325"/>
      <c r="Q61" s="48"/>
      <c r="R61" s="43"/>
      <c r="S61" s="43"/>
      <c r="Y61" s="47"/>
      <c r="BM61" s="198"/>
      <c r="BN61" s="198"/>
    </row>
    <row r="62" spans="2:66" x14ac:dyDescent="0.25">
      <c r="B62" s="819" t="s">
        <v>188</v>
      </c>
      <c r="C62" s="820"/>
      <c r="D62" s="503" t="s">
        <v>190</v>
      </c>
      <c r="E62" s="737" t="s">
        <v>407</v>
      </c>
      <c r="F62" s="738"/>
      <c r="G62" s="739"/>
      <c r="H62" s="539"/>
      <c r="I62" s="540"/>
      <c r="J62" s="292" t="s">
        <v>195</v>
      </c>
      <c r="K62" s="292"/>
      <c r="L62" s="292"/>
      <c r="M62" s="292" t="s">
        <v>196</v>
      </c>
      <c r="N62" s="292"/>
      <c r="O62" s="292"/>
      <c r="P62" s="48"/>
      <c r="Q62" s="48"/>
      <c r="R62" s="48"/>
      <c r="S62" s="43"/>
      <c r="T62" s="43"/>
      <c r="U62" s="43"/>
      <c r="V62" s="15"/>
      <c r="W62" s="15"/>
      <c r="X62" s="15"/>
      <c r="Y62" s="515"/>
      <c r="Z62" s="15"/>
      <c r="AA62" s="15"/>
      <c r="AB62" s="15"/>
      <c r="AC62" s="15"/>
      <c r="AD62" s="15"/>
      <c r="BM62" s="198"/>
      <c r="BN62" s="198"/>
    </row>
    <row r="63" spans="2:66" x14ac:dyDescent="0.25">
      <c r="B63" s="196"/>
      <c r="C63" s="197"/>
      <c r="D63" s="197"/>
      <c r="E63" s="49">
        <f>1/3</f>
        <v>0.33333333333333331</v>
      </c>
      <c r="F63" s="50">
        <f>1/3</f>
        <v>0.33333333333333331</v>
      </c>
      <c r="G63" s="508">
        <f>1/3</f>
        <v>0.33333333333333331</v>
      </c>
      <c r="H63" s="160"/>
      <c r="I63" s="160"/>
      <c r="J63" s="48"/>
      <c r="K63" s="48"/>
      <c r="L63" s="48"/>
      <c r="M63" s="48"/>
      <c r="N63" s="48"/>
      <c r="O63" s="48"/>
      <c r="P63" s="48"/>
      <c r="Q63" s="48"/>
      <c r="R63" s="48"/>
      <c r="S63" s="43"/>
      <c r="T63" s="43"/>
      <c r="U63" s="43"/>
      <c r="V63" s="15"/>
      <c r="W63" s="15"/>
      <c r="X63" s="15"/>
      <c r="Y63" s="515"/>
      <c r="Z63" s="15"/>
      <c r="AA63" s="15"/>
      <c r="AB63" s="15"/>
      <c r="AC63" s="15"/>
      <c r="AD63" s="15"/>
      <c r="BM63" s="198"/>
      <c r="BN63" s="198"/>
    </row>
    <row r="64" spans="2:66" x14ac:dyDescent="0.25">
      <c r="B64" s="236" t="s">
        <v>189</v>
      </c>
      <c r="C64" s="237" t="s">
        <v>101</v>
      </c>
      <c r="D64" s="237" t="s">
        <v>190</v>
      </c>
      <c r="E64" s="236" t="s">
        <v>191</v>
      </c>
      <c r="F64" s="238" t="s">
        <v>192</v>
      </c>
      <c r="G64" s="237" t="s">
        <v>193</v>
      </c>
      <c r="H64" s="389" t="s">
        <v>194</v>
      </c>
      <c r="I64" s="48"/>
      <c r="J64" s="734" t="s">
        <v>197</v>
      </c>
      <c r="K64" s="734" t="s">
        <v>198</v>
      </c>
      <c r="L64" s="734" t="s">
        <v>193</v>
      </c>
      <c r="M64" s="734" t="str">
        <f>E64</f>
        <v xml:space="preserve">Construction Start </v>
      </c>
      <c r="N64" s="734" t="str">
        <f>F64</f>
        <v>Lock up Month</v>
      </c>
      <c r="O64" s="734" t="str">
        <f>G64</f>
        <v>CCC</v>
      </c>
      <c r="P64" s="48"/>
      <c r="Q64" s="48"/>
      <c r="R64" s="48"/>
      <c r="S64" s="43"/>
      <c r="T64" s="43"/>
      <c r="U64" s="43"/>
      <c r="V64" s="15"/>
      <c r="W64" s="15"/>
      <c r="X64" s="15"/>
      <c r="Y64" s="515"/>
      <c r="Z64" s="15"/>
      <c r="AA64" s="15"/>
      <c r="AB64" s="15"/>
      <c r="AC64" s="15"/>
      <c r="AD64" s="15"/>
      <c r="BM64" s="198"/>
      <c r="BN64" s="198"/>
    </row>
    <row r="65" spans="2:66" x14ac:dyDescent="0.25">
      <c r="B65" s="239" t="str">
        <f>'Detailed Feasibility Inputs'!B15</f>
        <v xml:space="preserve">Lot 1 </v>
      </c>
      <c r="C65" s="240" t="str">
        <f>'Detailed Feasibility Inputs'!C15</f>
        <v>1 Bed</v>
      </c>
      <c r="D65" s="241">
        <f>IF(C65='Detailed Feasibility Inputs'!$B$40,'Detailed Feasibility Inputs'!$E$40,IF('Detailed Feasibility'!C65='Detailed Feasibility Inputs'!$B$41,'Detailed Feasibility Inputs'!$E$41,IF('Detailed Feasibility'!C65='Detailed Feasibility Inputs'!$B$42,'Detailed Feasibility Inputs'!$E$42,IF('Detailed Feasibility'!C65='Detailed Feasibility Inputs'!$B$43,'Detailed Feasibility Inputs'!$E$43,IF('Detailed Feasibility'!C65='Detailed Feasibility Inputs'!$B$44,'Detailed Feasibility Inputs'!$E$44,IF('Detailed Feasibility'!C65='Detailed Feasibility Inputs'!$B$45,'Detailed Feasibility Inputs'!$E$45,0))))))</f>
        <v>125000</v>
      </c>
      <c r="E65" s="242">
        <v>12</v>
      </c>
      <c r="F65" s="243">
        <v>18</v>
      </c>
      <c r="G65" s="244">
        <v>21</v>
      </c>
      <c r="H65" s="389">
        <f t="shared" ref="H65:H84" si="0">IF(G65&gt;0,G65+1,0)</f>
        <v>22</v>
      </c>
      <c r="I65" s="48"/>
      <c r="J65" s="52">
        <f t="shared" ref="J65:J84" si="1">IF(C65=$B$93,$G$93,0)+IF(C65=$B$94,$G$94,0)+IF(C65=$B$95,$G$95,0)+IF(C65=$B$96,$G$96,0)+IF(C65=$B$97,$G$97,0)+IF(C65=$B$98,$G$98,0)</f>
        <v>54244.374999999993</v>
      </c>
      <c r="K65" s="52">
        <f t="shared" ref="K65:K84" si="2">IF(C65=$B$93,$I$93,0)+IF(C65=$B$94,$I$94,0)+IF(C65=$B$95,$I$95,0)+IF(C65=$B$96,$I$96,0)+IF(C65=$B$97,$I$97,0)+IF(C65=$B$98,$I$98,0)</f>
        <v>54244.374999999993</v>
      </c>
      <c r="L65" s="52">
        <f t="shared" ref="L65:L84" si="3">IF(C65=$B$93,$J$93,0)+IF(C65=$B$94,$J$94,0)+IF(C65=$B$95,$J$95,0)+IF(C65=$B$96,$J$96,0)+IF(C65=$B$97,$J$97,0)+IF(C65=$B$98,$J$98,0)</f>
        <v>72325.833333333328</v>
      </c>
      <c r="M65" s="53">
        <f t="shared" ref="M65:M84" si="4">D65*$E$63</f>
        <v>41666.666666666664</v>
      </c>
      <c r="N65" s="53">
        <f t="shared" ref="N65:N84" si="5">D65*$F$63</f>
        <v>41666.666666666664</v>
      </c>
      <c r="O65" s="53">
        <f t="shared" ref="O65:O84" si="6">D65*$G$63</f>
        <v>41666.666666666664</v>
      </c>
      <c r="P65" s="48"/>
      <c r="Q65" s="48"/>
      <c r="R65" s="48"/>
      <c r="S65" s="43"/>
      <c r="T65" s="43"/>
      <c r="U65" s="43"/>
      <c r="V65" s="15"/>
      <c r="W65" s="15"/>
      <c r="X65" s="15"/>
      <c r="Y65" s="515"/>
      <c r="Z65" s="15"/>
      <c r="AA65" s="15"/>
      <c r="AB65" s="15"/>
      <c r="AC65" s="15"/>
      <c r="AD65" s="15"/>
      <c r="BM65" s="198"/>
      <c r="BN65" s="198"/>
    </row>
    <row r="66" spans="2:66" x14ac:dyDescent="0.25">
      <c r="B66" s="245" t="str">
        <f>'Detailed Feasibility Inputs'!B16</f>
        <v xml:space="preserve">Lot 2 </v>
      </c>
      <c r="C66" s="231" t="str">
        <f>'Detailed Feasibility Inputs'!C16</f>
        <v>1 Bed</v>
      </c>
      <c r="D66" s="217">
        <f>IF(C66='Detailed Feasibility Inputs'!$B$40,'Detailed Feasibility Inputs'!$E$40,IF('Detailed Feasibility'!C66='Detailed Feasibility Inputs'!$B$41,'Detailed Feasibility Inputs'!$E$41,IF('Detailed Feasibility'!C66='Detailed Feasibility Inputs'!$B$42,'Detailed Feasibility Inputs'!$E$42,IF('Detailed Feasibility'!C66='Detailed Feasibility Inputs'!$B$43,'Detailed Feasibility Inputs'!$E$43,IF('Detailed Feasibility'!C66='Detailed Feasibility Inputs'!$B$44,'Detailed Feasibility Inputs'!$E$44,IF('Detailed Feasibility'!C66='Detailed Feasibility Inputs'!$B$45,'Detailed Feasibility Inputs'!$E$45,0))))))</f>
        <v>125000</v>
      </c>
      <c r="E66" s="246">
        <v>12</v>
      </c>
      <c r="F66" s="247">
        <v>18</v>
      </c>
      <c r="G66" s="232">
        <v>21</v>
      </c>
      <c r="H66" s="389">
        <f t="shared" si="0"/>
        <v>22</v>
      </c>
      <c r="I66" s="48"/>
      <c r="J66" s="52">
        <f t="shared" si="1"/>
        <v>54244.374999999993</v>
      </c>
      <c r="K66" s="52">
        <f t="shared" si="2"/>
        <v>54244.374999999993</v>
      </c>
      <c r="L66" s="52">
        <f t="shared" si="3"/>
        <v>72325.833333333328</v>
      </c>
      <c r="M66" s="53">
        <f t="shared" si="4"/>
        <v>41666.666666666664</v>
      </c>
      <c r="N66" s="53">
        <f t="shared" si="5"/>
        <v>41666.666666666664</v>
      </c>
      <c r="O66" s="53">
        <f t="shared" si="6"/>
        <v>41666.666666666664</v>
      </c>
      <c r="P66" s="48"/>
      <c r="Q66" s="48"/>
      <c r="R66" s="48"/>
      <c r="S66" s="43"/>
      <c r="T66" s="43"/>
      <c r="U66" s="43"/>
      <c r="V66" s="15"/>
      <c r="W66" s="15"/>
      <c r="X66" s="15"/>
      <c r="Y66" s="515"/>
      <c r="Z66" s="15"/>
      <c r="AA66" s="15"/>
      <c r="AB66" s="15"/>
      <c r="AC66" s="15"/>
      <c r="AD66" s="15"/>
      <c r="BM66" s="198"/>
      <c r="BN66" s="198"/>
    </row>
    <row r="67" spans="2:66" x14ac:dyDescent="0.25">
      <c r="B67" s="245" t="str">
        <f>'Detailed Feasibility Inputs'!B17</f>
        <v>Lot 3</v>
      </c>
      <c r="C67" s="231" t="str">
        <f>'Detailed Feasibility Inputs'!C17</f>
        <v>2 Bed</v>
      </c>
      <c r="D67" s="217">
        <f>IF(C67='Detailed Feasibility Inputs'!$B$40,'Detailed Feasibility Inputs'!$E$40,IF('Detailed Feasibility'!C67='Detailed Feasibility Inputs'!$B$41,'Detailed Feasibility Inputs'!$E$41,IF('Detailed Feasibility'!C67='Detailed Feasibility Inputs'!$B$42,'Detailed Feasibility Inputs'!$E$42,IF('Detailed Feasibility'!C67='Detailed Feasibility Inputs'!$B$43,'Detailed Feasibility Inputs'!$E$43,IF('Detailed Feasibility'!C67='Detailed Feasibility Inputs'!$B$44,'Detailed Feasibility Inputs'!$E$44,IF('Detailed Feasibility'!C67='Detailed Feasibility Inputs'!$B$45,'Detailed Feasibility Inputs'!$E$45,0))))))</f>
        <v>175000</v>
      </c>
      <c r="E67" s="246">
        <v>12</v>
      </c>
      <c r="F67" s="247">
        <v>18</v>
      </c>
      <c r="G67" s="232">
        <v>21</v>
      </c>
      <c r="H67" s="389">
        <f t="shared" si="0"/>
        <v>22</v>
      </c>
      <c r="I67" s="48"/>
      <c r="J67" s="52">
        <f t="shared" si="1"/>
        <v>62869.374999999993</v>
      </c>
      <c r="K67" s="52">
        <f t="shared" si="2"/>
        <v>62869.374999999993</v>
      </c>
      <c r="L67" s="52">
        <f t="shared" si="3"/>
        <v>83825.833333333328</v>
      </c>
      <c r="M67" s="53">
        <f t="shared" si="4"/>
        <v>58333.333333333328</v>
      </c>
      <c r="N67" s="53">
        <f t="shared" si="5"/>
        <v>58333.333333333328</v>
      </c>
      <c r="O67" s="53">
        <f t="shared" si="6"/>
        <v>58333.333333333328</v>
      </c>
      <c r="P67" s="48"/>
      <c r="Q67" s="48"/>
      <c r="R67" s="48"/>
      <c r="S67" s="43"/>
      <c r="T67" s="43"/>
      <c r="U67" s="43"/>
      <c r="V67" s="15"/>
      <c r="W67" s="15"/>
      <c r="X67" s="15"/>
      <c r="Y67" s="515"/>
      <c r="Z67" s="15"/>
      <c r="AA67" s="15"/>
      <c r="AB67" s="15"/>
      <c r="AC67" s="15"/>
      <c r="AD67" s="15"/>
      <c r="BM67" s="198"/>
      <c r="BN67" s="198"/>
    </row>
    <row r="68" spans="2:66" x14ac:dyDescent="0.25">
      <c r="B68" s="245" t="str">
        <f>'Detailed Feasibility Inputs'!B18</f>
        <v>Lot 4</v>
      </c>
      <c r="C68" s="231" t="str">
        <f>'Detailed Feasibility Inputs'!C18</f>
        <v>2 Bed</v>
      </c>
      <c r="D68" s="217">
        <f>IF(C68='Detailed Feasibility Inputs'!$B$40,'Detailed Feasibility Inputs'!$E$40,IF('Detailed Feasibility'!C68='Detailed Feasibility Inputs'!$B$41,'Detailed Feasibility Inputs'!$E$41,IF('Detailed Feasibility'!C68='Detailed Feasibility Inputs'!$B$42,'Detailed Feasibility Inputs'!$E$42,IF('Detailed Feasibility'!C68='Detailed Feasibility Inputs'!$B$43,'Detailed Feasibility Inputs'!$E$43,IF('Detailed Feasibility'!C68='Detailed Feasibility Inputs'!$B$44,'Detailed Feasibility Inputs'!$E$44,IF('Detailed Feasibility'!C68='Detailed Feasibility Inputs'!$B$45,'Detailed Feasibility Inputs'!$E$45,0))))))</f>
        <v>175000</v>
      </c>
      <c r="E68" s="246">
        <v>12</v>
      </c>
      <c r="F68" s="247">
        <v>18</v>
      </c>
      <c r="G68" s="232">
        <v>21</v>
      </c>
      <c r="H68" s="389">
        <f t="shared" si="0"/>
        <v>22</v>
      </c>
      <c r="I68" s="48"/>
      <c r="J68" s="52">
        <f t="shared" si="1"/>
        <v>62869.374999999993</v>
      </c>
      <c r="K68" s="52">
        <f t="shared" si="2"/>
        <v>62869.374999999993</v>
      </c>
      <c r="L68" s="52">
        <f t="shared" si="3"/>
        <v>83825.833333333328</v>
      </c>
      <c r="M68" s="53">
        <f t="shared" si="4"/>
        <v>58333.333333333328</v>
      </c>
      <c r="N68" s="53">
        <f t="shared" si="5"/>
        <v>58333.333333333328</v>
      </c>
      <c r="O68" s="53">
        <f t="shared" si="6"/>
        <v>58333.333333333328</v>
      </c>
      <c r="P68" s="48"/>
      <c r="Q68" s="48"/>
      <c r="R68" s="48"/>
      <c r="S68" s="43"/>
      <c r="T68" s="43"/>
      <c r="U68" s="43"/>
      <c r="V68" s="15"/>
      <c r="W68" s="15"/>
      <c r="X68" s="15"/>
      <c r="Y68" s="515"/>
      <c r="Z68" s="15"/>
      <c r="AA68" s="15"/>
      <c r="AB68" s="15"/>
      <c r="AC68" s="15"/>
      <c r="AD68" s="15"/>
      <c r="BM68" s="198"/>
      <c r="BN68" s="198"/>
    </row>
    <row r="69" spans="2:66" x14ac:dyDescent="0.25">
      <c r="B69" s="245" t="str">
        <f>'Detailed Feasibility Inputs'!B19</f>
        <v xml:space="preserve">Lot 5 </v>
      </c>
      <c r="C69" s="231" t="str">
        <f>'Detailed Feasibility Inputs'!C19</f>
        <v>3 Bed</v>
      </c>
      <c r="D69" s="217">
        <f>IF(C69='Detailed Feasibility Inputs'!$B$40,'Detailed Feasibility Inputs'!$E$40,IF('Detailed Feasibility'!C69='Detailed Feasibility Inputs'!$B$41,'Detailed Feasibility Inputs'!$E$41,IF('Detailed Feasibility'!C69='Detailed Feasibility Inputs'!$B$42,'Detailed Feasibility Inputs'!$E$42,IF('Detailed Feasibility'!C69='Detailed Feasibility Inputs'!$B$43,'Detailed Feasibility Inputs'!$E$43,IF('Detailed Feasibility'!C69='Detailed Feasibility Inputs'!$B$44,'Detailed Feasibility Inputs'!$E$44,IF('Detailed Feasibility'!C69='Detailed Feasibility Inputs'!$B$45,'Detailed Feasibility Inputs'!$E$45,0))))))</f>
        <v>225000</v>
      </c>
      <c r="E69" s="246">
        <v>12</v>
      </c>
      <c r="F69" s="247">
        <v>18</v>
      </c>
      <c r="G69" s="232">
        <v>21</v>
      </c>
      <c r="H69" s="389">
        <f t="shared" si="0"/>
        <v>22</v>
      </c>
      <c r="I69" s="48"/>
      <c r="J69" s="52">
        <f t="shared" si="1"/>
        <v>71494.374999999985</v>
      </c>
      <c r="K69" s="52">
        <f t="shared" si="2"/>
        <v>71494.374999999985</v>
      </c>
      <c r="L69" s="52">
        <f t="shared" si="3"/>
        <v>95325.833333333328</v>
      </c>
      <c r="M69" s="53">
        <f t="shared" si="4"/>
        <v>75000</v>
      </c>
      <c r="N69" s="53">
        <f t="shared" si="5"/>
        <v>75000</v>
      </c>
      <c r="O69" s="53">
        <f t="shared" si="6"/>
        <v>75000</v>
      </c>
      <c r="P69" s="48"/>
      <c r="Q69" s="48"/>
      <c r="R69" s="48"/>
      <c r="S69" s="43"/>
      <c r="T69" s="43"/>
      <c r="U69" s="43"/>
      <c r="V69" s="15"/>
      <c r="W69" s="15"/>
      <c r="X69" s="15"/>
      <c r="Y69" s="15"/>
      <c r="Z69" s="15"/>
      <c r="AA69" s="15"/>
      <c r="AB69" s="15"/>
      <c r="AC69" s="15"/>
      <c r="AD69" s="15"/>
      <c r="AK69" s="290"/>
      <c r="AL69" s="34"/>
      <c r="AN69" s="35"/>
      <c r="AO69" s="291"/>
      <c r="BM69" s="198"/>
      <c r="BN69" s="198"/>
    </row>
    <row r="70" spans="2:66" x14ac:dyDescent="0.25">
      <c r="B70" s="245" t="str">
        <f>'Detailed Feasibility Inputs'!B20</f>
        <v xml:space="preserve">Lot 6 </v>
      </c>
      <c r="C70" s="231" t="str">
        <f>'Detailed Feasibility Inputs'!C20</f>
        <v>3 Bed</v>
      </c>
      <c r="D70" s="217">
        <f>IF(C70='Detailed Feasibility Inputs'!$B$40,'Detailed Feasibility Inputs'!$E$40,IF('Detailed Feasibility'!C70='Detailed Feasibility Inputs'!$B$41,'Detailed Feasibility Inputs'!$E$41,IF('Detailed Feasibility'!C70='Detailed Feasibility Inputs'!$B$42,'Detailed Feasibility Inputs'!$E$42,IF('Detailed Feasibility'!C70='Detailed Feasibility Inputs'!$B$43,'Detailed Feasibility Inputs'!$E$43,IF('Detailed Feasibility'!C70='Detailed Feasibility Inputs'!$B$44,'Detailed Feasibility Inputs'!$E$44,IF('Detailed Feasibility'!C70='Detailed Feasibility Inputs'!$B$45,'Detailed Feasibility Inputs'!$E$45,0))))))</f>
        <v>225000</v>
      </c>
      <c r="E70" s="246">
        <v>12</v>
      </c>
      <c r="F70" s="247">
        <v>18</v>
      </c>
      <c r="G70" s="232">
        <v>21</v>
      </c>
      <c r="H70" s="389">
        <f t="shared" si="0"/>
        <v>22</v>
      </c>
      <c r="I70" s="48"/>
      <c r="J70" s="52">
        <f t="shared" si="1"/>
        <v>71494.374999999985</v>
      </c>
      <c r="K70" s="52">
        <f t="shared" si="2"/>
        <v>71494.374999999985</v>
      </c>
      <c r="L70" s="52">
        <f t="shared" si="3"/>
        <v>95325.833333333328</v>
      </c>
      <c r="M70" s="53">
        <f t="shared" si="4"/>
        <v>75000</v>
      </c>
      <c r="N70" s="53">
        <f t="shared" si="5"/>
        <v>75000</v>
      </c>
      <c r="O70" s="53">
        <f t="shared" si="6"/>
        <v>75000</v>
      </c>
      <c r="P70" s="48"/>
      <c r="Q70" s="48"/>
      <c r="R70" s="48"/>
      <c r="S70" s="43"/>
      <c r="T70" s="43"/>
      <c r="U70" s="43"/>
      <c r="V70" s="15"/>
      <c r="W70" s="15"/>
      <c r="X70" s="15"/>
      <c r="Y70" s="15"/>
      <c r="Z70" s="15"/>
      <c r="AA70" s="15"/>
      <c r="AB70" s="15"/>
      <c r="AC70" s="15"/>
      <c r="AD70" s="15"/>
      <c r="AK70" s="290"/>
      <c r="AL70" s="34"/>
      <c r="AN70" s="35"/>
      <c r="AO70" s="291"/>
      <c r="BM70" s="198"/>
      <c r="BN70" s="198"/>
    </row>
    <row r="71" spans="2:66" x14ac:dyDescent="0.25">
      <c r="B71" s="245" t="str">
        <f>'Detailed Feasibility Inputs'!B21</f>
        <v xml:space="preserve">Lot 7 </v>
      </c>
      <c r="C71" s="231" t="str">
        <f>'Detailed Feasibility Inputs'!C21</f>
        <v>4 Bed</v>
      </c>
      <c r="D71" s="217">
        <f>IF(C71='Detailed Feasibility Inputs'!$B$40,'Detailed Feasibility Inputs'!$E$40,IF('Detailed Feasibility'!C71='Detailed Feasibility Inputs'!$B$41,'Detailed Feasibility Inputs'!$E$41,IF('Detailed Feasibility'!C71='Detailed Feasibility Inputs'!$B$42,'Detailed Feasibility Inputs'!$E$42,IF('Detailed Feasibility'!C71='Detailed Feasibility Inputs'!$B$43,'Detailed Feasibility Inputs'!$E$43,IF('Detailed Feasibility'!C71='Detailed Feasibility Inputs'!$B$44,'Detailed Feasibility Inputs'!$E$44,IF('Detailed Feasibility'!C71='Detailed Feasibility Inputs'!$B$45,'Detailed Feasibility Inputs'!$E$45,0))))))</f>
        <v>300000</v>
      </c>
      <c r="E71" s="246">
        <v>14</v>
      </c>
      <c r="F71" s="247">
        <v>17</v>
      </c>
      <c r="G71" s="232">
        <v>18</v>
      </c>
      <c r="H71" s="389">
        <f t="shared" si="0"/>
        <v>19</v>
      </c>
      <c r="I71" s="48"/>
      <c r="J71" s="52">
        <f t="shared" si="1"/>
        <v>84431.874999999985</v>
      </c>
      <c r="K71" s="52">
        <f t="shared" si="2"/>
        <v>84431.874999999985</v>
      </c>
      <c r="L71" s="52">
        <f t="shared" si="3"/>
        <v>112575.83333333333</v>
      </c>
      <c r="M71" s="53">
        <f t="shared" si="4"/>
        <v>100000</v>
      </c>
      <c r="N71" s="53">
        <f t="shared" si="5"/>
        <v>100000</v>
      </c>
      <c r="O71" s="53">
        <f t="shared" si="6"/>
        <v>100000</v>
      </c>
      <c r="P71" s="48"/>
      <c r="Q71" s="48"/>
      <c r="R71" s="48"/>
      <c r="S71" s="43"/>
      <c r="T71" s="43"/>
      <c r="U71" s="43"/>
      <c r="V71" s="15"/>
      <c r="W71" s="15"/>
      <c r="X71" s="15"/>
      <c r="Y71" s="15"/>
      <c r="Z71" s="15"/>
      <c r="AA71" s="15"/>
      <c r="AB71" s="15"/>
      <c r="AC71" s="15"/>
      <c r="AD71" s="15"/>
      <c r="AK71" s="290"/>
      <c r="AL71" s="34"/>
      <c r="AN71" s="35"/>
      <c r="AO71" s="291"/>
      <c r="BM71" s="198"/>
      <c r="BN71" s="198"/>
    </row>
    <row r="72" spans="2:66" x14ac:dyDescent="0.25">
      <c r="B72" s="245" t="str">
        <f>'Detailed Feasibility Inputs'!B22</f>
        <v xml:space="preserve">Lot 8 </v>
      </c>
      <c r="C72" s="231" t="str">
        <f>'Detailed Feasibility Inputs'!C22</f>
        <v>4 Bed</v>
      </c>
      <c r="D72" s="217">
        <f>IF(C72='Detailed Feasibility Inputs'!$B$40,'Detailed Feasibility Inputs'!$E$40,IF('Detailed Feasibility'!C72='Detailed Feasibility Inputs'!$B$41,'Detailed Feasibility Inputs'!$E$41,IF('Detailed Feasibility'!C72='Detailed Feasibility Inputs'!$B$42,'Detailed Feasibility Inputs'!$E$42,IF('Detailed Feasibility'!C72='Detailed Feasibility Inputs'!$B$43,'Detailed Feasibility Inputs'!$E$43,IF('Detailed Feasibility'!C72='Detailed Feasibility Inputs'!$B$44,'Detailed Feasibility Inputs'!$E$44,IF('Detailed Feasibility'!C72='Detailed Feasibility Inputs'!$B$45,'Detailed Feasibility Inputs'!$E$45,0))))))</f>
        <v>300000</v>
      </c>
      <c r="E72" s="246">
        <v>21</v>
      </c>
      <c r="F72" s="247">
        <v>24</v>
      </c>
      <c r="G72" s="232">
        <v>25</v>
      </c>
      <c r="H72" s="389">
        <f t="shared" si="0"/>
        <v>26</v>
      </c>
      <c r="I72" s="48"/>
      <c r="J72" s="52">
        <f t="shared" si="1"/>
        <v>84431.874999999985</v>
      </c>
      <c r="K72" s="52">
        <f t="shared" si="2"/>
        <v>84431.874999999985</v>
      </c>
      <c r="L72" s="52">
        <f t="shared" si="3"/>
        <v>112575.83333333333</v>
      </c>
      <c r="M72" s="53">
        <f t="shared" si="4"/>
        <v>100000</v>
      </c>
      <c r="N72" s="53">
        <f t="shared" si="5"/>
        <v>100000</v>
      </c>
      <c r="O72" s="53">
        <f t="shared" si="6"/>
        <v>100000</v>
      </c>
      <c r="P72" s="48"/>
      <c r="Q72" s="48"/>
      <c r="R72" s="48"/>
      <c r="S72" s="43"/>
      <c r="T72" s="43"/>
      <c r="U72" s="43"/>
      <c r="V72" s="15"/>
      <c r="W72" s="15"/>
      <c r="X72" s="15"/>
      <c r="Y72" s="15"/>
      <c r="Z72" s="15"/>
      <c r="AA72" s="15"/>
      <c r="AB72" s="15"/>
      <c r="AC72" s="15"/>
      <c r="AD72" s="15"/>
      <c r="AK72" s="290"/>
      <c r="AL72" s="34"/>
      <c r="AN72" s="35"/>
      <c r="AO72" s="291"/>
      <c r="BM72" s="198"/>
      <c r="BN72" s="198"/>
    </row>
    <row r="73" spans="2:66" x14ac:dyDescent="0.25">
      <c r="B73" s="245" t="str">
        <f>'Detailed Feasibility Inputs'!B23</f>
        <v xml:space="preserve">Lot 9 </v>
      </c>
      <c r="C73" s="231" t="str">
        <f>'Detailed Feasibility Inputs'!C23</f>
        <v>5 Bed</v>
      </c>
      <c r="D73" s="217">
        <f>IF(C73='Detailed Feasibility Inputs'!$B$40,'Detailed Feasibility Inputs'!$E$40,IF('Detailed Feasibility'!C73='Detailed Feasibility Inputs'!$B$41,'Detailed Feasibility Inputs'!$E$41,IF('Detailed Feasibility'!C73='Detailed Feasibility Inputs'!$B$42,'Detailed Feasibility Inputs'!$E$42,IF('Detailed Feasibility'!C73='Detailed Feasibility Inputs'!$B$43,'Detailed Feasibility Inputs'!$E$43,IF('Detailed Feasibility'!C73='Detailed Feasibility Inputs'!$B$44,'Detailed Feasibility Inputs'!$E$44,IF('Detailed Feasibility'!C73='Detailed Feasibility Inputs'!$B$45,'Detailed Feasibility Inputs'!$E$45,0))))))</f>
        <v>325000</v>
      </c>
      <c r="E73" s="246">
        <v>21</v>
      </c>
      <c r="F73" s="247">
        <v>24</v>
      </c>
      <c r="G73" s="232">
        <v>25</v>
      </c>
      <c r="H73" s="389">
        <f t="shared" si="0"/>
        <v>26</v>
      </c>
      <c r="I73" s="48"/>
      <c r="J73" s="52">
        <f t="shared" si="1"/>
        <v>88744.374999999985</v>
      </c>
      <c r="K73" s="52">
        <f t="shared" si="2"/>
        <v>88744.374999999985</v>
      </c>
      <c r="L73" s="52">
        <f t="shared" si="3"/>
        <v>118325.83333333333</v>
      </c>
      <c r="M73" s="53">
        <f t="shared" si="4"/>
        <v>108333.33333333333</v>
      </c>
      <c r="N73" s="53">
        <f t="shared" si="5"/>
        <v>108333.33333333333</v>
      </c>
      <c r="O73" s="53">
        <f t="shared" si="6"/>
        <v>108333.33333333333</v>
      </c>
      <c r="P73" s="48"/>
      <c r="Q73" s="48"/>
      <c r="R73" s="48"/>
      <c r="S73" s="43"/>
      <c r="T73" s="43"/>
      <c r="U73" s="43"/>
      <c r="V73" s="15"/>
      <c r="W73" s="15"/>
      <c r="X73" s="15"/>
      <c r="Y73" s="15"/>
      <c r="Z73" s="15"/>
      <c r="AA73" s="15"/>
      <c r="AB73" s="15"/>
      <c r="AC73" s="15"/>
      <c r="AD73" s="15"/>
      <c r="AK73" s="290"/>
      <c r="AL73" s="34"/>
      <c r="AN73" s="35"/>
      <c r="AO73" s="291"/>
      <c r="BM73" s="198"/>
      <c r="BN73" s="198"/>
    </row>
    <row r="74" spans="2:66" x14ac:dyDescent="0.25">
      <c r="B74" s="245" t="str">
        <f>'Detailed Feasibility Inputs'!B24</f>
        <v>Lot 10</v>
      </c>
      <c r="C74" s="231" t="str">
        <f>'Detailed Feasibility Inputs'!C24</f>
        <v>5 Bed</v>
      </c>
      <c r="D74" s="217">
        <f>IF(C74='Detailed Feasibility Inputs'!$B$40,'Detailed Feasibility Inputs'!$E$40,IF('Detailed Feasibility'!C74='Detailed Feasibility Inputs'!$B$41,'Detailed Feasibility Inputs'!$E$41,IF('Detailed Feasibility'!C74='Detailed Feasibility Inputs'!$B$42,'Detailed Feasibility Inputs'!$E$42,IF('Detailed Feasibility'!C74='Detailed Feasibility Inputs'!$B$43,'Detailed Feasibility Inputs'!$E$43,IF('Detailed Feasibility'!C74='Detailed Feasibility Inputs'!$B$44,'Detailed Feasibility Inputs'!$E$44,IF('Detailed Feasibility'!C74='Detailed Feasibility Inputs'!$B$45,'Detailed Feasibility Inputs'!$E$45,0))))))</f>
        <v>325000</v>
      </c>
      <c r="E74" s="246">
        <v>21</v>
      </c>
      <c r="F74" s="247">
        <v>24</v>
      </c>
      <c r="G74" s="232">
        <v>25</v>
      </c>
      <c r="H74" s="389">
        <f t="shared" si="0"/>
        <v>26</v>
      </c>
      <c r="I74" s="48"/>
      <c r="J74" s="52">
        <f t="shared" si="1"/>
        <v>88744.374999999985</v>
      </c>
      <c r="K74" s="52">
        <f t="shared" si="2"/>
        <v>88744.374999999985</v>
      </c>
      <c r="L74" s="52">
        <f t="shared" si="3"/>
        <v>118325.83333333333</v>
      </c>
      <c r="M74" s="53">
        <f t="shared" si="4"/>
        <v>108333.33333333333</v>
      </c>
      <c r="N74" s="53">
        <f t="shared" si="5"/>
        <v>108333.33333333333</v>
      </c>
      <c r="O74" s="53">
        <f t="shared" si="6"/>
        <v>108333.33333333333</v>
      </c>
      <c r="P74" s="48"/>
      <c r="Q74" s="48"/>
      <c r="R74" s="48"/>
      <c r="S74" s="43"/>
      <c r="T74" s="43"/>
      <c r="U74" s="43"/>
      <c r="V74" s="15"/>
      <c r="W74" s="15"/>
      <c r="X74" s="15"/>
      <c r="Y74" s="15"/>
      <c r="Z74" s="15"/>
      <c r="AA74" s="15"/>
      <c r="AB74" s="15"/>
      <c r="AC74" s="15"/>
      <c r="AD74" s="15"/>
      <c r="AK74" s="290"/>
      <c r="AL74" s="34"/>
      <c r="AN74" s="35"/>
      <c r="AO74" s="291"/>
      <c r="BM74" s="198"/>
      <c r="BN74" s="198"/>
    </row>
    <row r="75" spans="2:66" x14ac:dyDescent="0.25">
      <c r="B75" s="245" t="str">
        <f>'Detailed Feasibility Inputs'!B25</f>
        <v xml:space="preserve">Lot 11 </v>
      </c>
      <c r="C75" s="231" t="str">
        <f>'Detailed Feasibility Inputs'!C25</f>
        <v>6 Bed</v>
      </c>
      <c r="D75" s="217">
        <f>IF(C75='Detailed Feasibility Inputs'!$B$40,'Detailed Feasibility Inputs'!$E$40,IF('Detailed Feasibility'!C75='Detailed Feasibility Inputs'!$B$41,'Detailed Feasibility Inputs'!$E$41,IF('Detailed Feasibility'!C75='Detailed Feasibility Inputs'!$B$42,'Detailed Feasibility Inputs'!$E$42,IF('Detailed Feasibility'!C75='Detailed Feasibility Inputs'!$B$43,'Detailed Feasibility Inputs'!$E$43,IF('Detailed Feasibility'!C75='Detailed Feasibility Inputs'!$B$44,'Detailed Feasibility Inputs'!$E$44,IF('Detailed Feasibility'!C75='Detailed Feasibility Inputs'!$B$45,'Detailed Feasibility Inputs'!$E$45,0))))))</f>
        <v>400000</v>
      </c>
      <c r="E75" s="246">
        <v>21</v>
      </c>
      <c r="F75" s="247">
        <v>24</v>
      </c>
      <c r="G75" s="232">
        <v>25</v>
      </c>
      <c r="H75" s="389">
        <f t="shared" si="0"/>
        <v>26</v>
      </c>
      <c r="I75" s="48"/>
      <c r="J75" s="52">
        <f t="shared" si="1"/>
        <v>101681.87499999999</v>
      </c>
      <c r="K75" s="52">
        <f t="shared" si="2"/>
        <v>101681.87499999999</v>
      </c>
      <c r="L75" s="52">
        <f t="shared" si="3"/>
        <v>135575.83333333334</v>
      </c>
      <c r="M75" s="53">
        <f t="shared" si="4"/>
        <v>133333.33333333331</v>
      </c>
      <c r="N75" s="53">
        <f t="shared" si="5"/>
        <v>133333.33333333331</v>
      </c>
      <c r="O75" s="53">
        <f t="shared" si="6"/>
        <v>133333.33333333331</v>
      </c>
      <c r="P75" s="48"/>
      <c r="Q75" s="48"/>
      <c r="R75" s="48"/>
      <c r="S75" s="43"/>
      <c r="T75" s="43"/>
      <c r="U75" s="43"/>
      <c r="V75" s="15"/>
      <c r="W75" s="15"/>
      <c r="X75" s="15"/>
      <c r="Y75" s="15"/>
      <c r="Z75" s="15"/>
      <c r="AA75" s="15"/>
      <c r="AB75" s="15"/>
      <c r="AC75" s="15"/>
      <c r="AD75" s="15"/>
      <c r="AK75" s="290"/>
      <c r="AL75" s="34"/>
      <c r="AN75" s="35"/>
      <c r="AO75" s="291"/>
      <c r="BM75" s="198"/>
      <c r="BN75" s="198"/>
    </row>
    <row r="76" spans="2:66" x14ac:dyDescent="0.25">
      <c r="B76" s="245" t="str">
        <f>'Detailed Feasibility Inputs'!B26</f>
        <v>Lot 12</v>
      </c>
      <c r="C76" s="231" t="str">
        <f>'Detailed Feasibility Inputs'!C26</f>
        <v>6 Bed</v>
      </c>
      <c r="D76" s="217">
        <f>IF(C76='Detailed Feasibility Inputs'!$B$40,'Detailed Feasibility Inputs'!$E$40,IF('Detailed Feasibility'!C76='Detailed Feasibility Inputs'!$B$41,'Detailed Feasibility Inputs'!$E$41,IF('Detailed Feasibility'!C76='Detailed Feasibility Inputs'!$B$42,'Detailed Feasibility Inputs'!$E$42,IF('Detailed Feasibility'!C76='Detailed Feasibility Inputs'!$B$43,'Detailed Feasibility Inputs'!$E$43,IF('Detailed Feasibility'!C76='Detailed Feasibility Inputs'!$B$44,'Detailed Feasibility Inputs'!$E$44,IF('Detailed Feasibility'!C76='Detailed Feasibility Inputs'!$B$45,'Detailed Feasibility Inputs'!$E$45,0))))))</f>
        <v>400000</v>
      </c>
      <c r="E76" s="246">
        <v>21</v>
      </c>
      <c r="F76" s="247">
        <v>24</v>
      </c>
      <c r="G76" s="232">
        <v>25</v>
      </c>
      <c r="H76" s="389">
        <f t="shared" si="0"/>
        <v>26</v>
      </c>
      <c r="I76" s="48"/>
      <c r="J76" s="52">
        <f t="shared" si="1"/>
        <v>101681.87499999999</v>
      </c>
      <c r="K76" s="52">
        <f t="shared" si="2"/>
        <v>101681.87499999999</v>
      </c>
      <c r="L76" s="52">
        <f t="shared" si="3"/>
        <v>135575.83333333334</v>
      </c>
      <c r="M76" s="53">
        <f t="shared" si="4"/>
        <v>133333.33333333331</v>
      </c>
      <c r="N76" s="53">
        <f t="shared" si="5"/>
        <v>133333.33333333331</v>
      </c>
      <c r="O76" s="53">
        <f t="shared" si="6"/>
        <v>133333.33333333331</v>
      </c>
      <c r="P76" s="48"/>
      <c r="Q76" s="48"/>
      <c r="R76" s="48"/>
      <c r="S76" s="43"/>
      <c r="T76" s="43"/>
      <c r="U76" s="43"/>
      <c r="V76" s="15"/>
      <c r="W76" s="15"/>
      <c r="X76" s="15"/>
      <c r="Y76" s="15"/>
      <c r="Z76" s="15"/>
      <c r="AA76" s="15"/>
      <c r="AB76" s="15"/>
      <c r="AC76" s="15"/>
      <c r="AD76" s="15"/>
      <c r="AK76" s="290"/>
      <c r="AL76" s="34"/>
      <c r="AN76" s="35"/>
      <c r="AO76" s="291"/>
      <c r="BM76" s="198"/>
      <c r="BN76" s="198"/>
    </row>
    <row r="77" spans="2:66" x14ac:dyDescent="0.25">
      <c r="B77" s="245">
        <f>'Detailed Feasibility Inputs'!B27</f>
        <v>0</v>
      </c>
      <c r="C77" s="231">
        <f>'Detailed Feasibility Inputs'!C27</f>
        <v>0</v>
      </c>
      <c r="D77" s="553">
        <f>IF(C77='Detailed Feasibility Inputs'!$B$40,'Detailed Feasibility Inputs'!$E$40,IF('Detailed Feasibility'!C77='Detailed Feasibility Inputs'!$B$41,'Detailed Feasibility Inputs'!$E$41,IF('Detailed Feasibility'!C77='Detailed Feasibility Inputs'!$B$42,'Detailed Feasibility Inputs'!$E$42,IF('Detailed Feasibility'!C77='Detailed Feasibility Inputs'!$B$43,'Detailed Feasibility Inputs'!$E$43,IF('Detailed Feasibility'!C77='Detailed Feasibility Inputs'!$B$44,'Detailed Feasibility Inputs'!$E$44,IF('Detailed Feasibility'!C77='Detailed Feasibility Inputs'!$B$45,'Detailed Feasibility Inputs'!$E$45,0))))))</f>
        <v>0</v>
      </c>
      <c r="E77" s="580">
        <v>0</v>
      </c>
      <c r="F77" s="580">
        <v>0</v>
      </c>
      <c r="G77" s="232">
        <v>0</v>
      </c>
      <c r="H77" s="389">
        <f t="shared" si="0"/>
        <v>0</v>
      </c>
      <c r="I77" s="48"/>
      <c r="J77" s="52">
        <f t="shared" si="1"/>
        <v>0</v>
      </c>
      <c r="K77" s="52">
        <f t="shared" si="2"/>
        <v>0</v>
      </c>
      <c r="L77" s="52">
        <f t="shared" si="3"/>
        <v>0</v>
      </c>
      <c r="M77" s="53">
        <f t="shared" si="4"/>
        <v>0</v>
      </c>
      <c r="N77" s="53">
        <f t="shared" si="5"/>
        <v>0</v>
      </c>
      <c r="O77" s="53">
        <f t="shared" si="6"/>
        <v>0</v>
      </c>
      <c r="P77" s="48"/>
      <c r="Q77" s="48"/>
      <c r="R77" s="533"/>
      <c r="S77" s="43"/>
      <c r="T77" s="43"/>
      <c r="U77" s="43"/>
      <c r="V77" s="15"/>
      <c r="W77" s="15"/>
      <c r="X77" s="15"/>
      <c r="Y77" s="15"/>
      <c r="Z77" s="15"/>
      <c r="AA77" s="15"/>
      <c r="AB77" s="15"/>
      <c r="AC77" s="15"/>
      <c r="AD77" s="15"/>
      <c r="BM77" s="198"/>
      <c r="BN77" s="198"/>
    </row>
    <row r="78" spans="2:66" x14ac:dyDescent="0.25">
      <c r="B78" s="245">
        <f>'Detailed Feasibility Inputs'!B28</f>
        <v>0</v>
      </c>
      <c r="C78" s="231">
        <f>'Detailed Feasibility Inputs'!C28</f>
        <v>0</v>
      </c>
      <c r="D78" s="553">
        <f>IF(C78='Detailed Feasibility Inputs'!$B$40,'Detailed Feasibility Inputs'!$E$40,IF('Detailed Feasibility'!C78='Detailed Feasibility Inputs'!$B$41,'Detailed Feasibility Inputs'!$E$41,IF('Detailed Feasibility'!C78='Detailed Feasibility Inputs'!$B$42,'Detailed Feasibility Inputs'!$E$42,IF('Detailed Feasibility'!C78='Detailed Feasibility Inputs'!$B$43,'Detailed Feasibility Inputs'!$E$43,IF('Detailed Feasibility'!C78='Detailed Feasibility Inputs'!$B$44,'Detailed Feasibility Inputs'!$E$44,IF('Detailed Feasibility'!C78='Detailed Feasibility Inputs'!$B$45,'Detailed Feasibility Inputs'!$E$45,0))))))</f>
        <v>0</v>
      </c>
      <c r="E78" s="580">
        <v>0</v>
      </c>
      <c r="F78" s="580">
        <v>0</v>
      </c>
      <c r="G78" s="232">
        <v>0</v>
      </c>
      <c r="H78" s="389">
        <f t="shared" si="0"/>
        <v>0</v>
      </c>
      <c r="I78" s="48"/>
      <c r="J78" s="52">
        <f t="shared" si="1"/>
        <v>0</v>
      </c>
      <c r="K78" s="52">
        <f t="shared" si="2"/>
        <v>0</v>
      </c>
      <c r="L78" s="52">
        <f t="shared" si="3"/>
        <v>0</v>
      </c>
      <c r="M78" s="53">
        <f t="shared" si="4"/>
        <v>0</v>
      </c>
      <c r="N78" s="53">
        <f t="shared" si="5"/>
        <v>0</v>
      </c>
      <c r="O78" s="53">
        <f t="shared" si="6"/>
        <v>0</v>
      </c>
      <c r="P78" s="292"/>
      <c r="Q78" s="48"/>
      <c r="R78" s="48"/>
      <c r="S78" s="43"/>
      <c r="T78" s="43"/>
      <c r="U78" s="43"/>
      <c r="V78" s="15"/>
      <c r="W78" s="15"/>
      <c r="X78" s="15"/>
      <c r="Y78" s="15"/>
      <c r="Z78" s="15"/>
      <c r="AA78" s="15"/>
      <c r="AB78" s="15"/>
      <c r="AC78" s="15"/>
      <c r="AD78" s="15"/>
      <c r="BM78" s="198"/>
      <c r="BN78" s="198"/>
    </row>
    <row r="79" spans="2:66" x14ac:dyDescent="0.25">
      <c r="B79" s="245">
        <f>'Detailed Feasibility Inputs'!B29</f>
        <v>0</v>
      </c>
      <c r="C79" s="231">
        <f>'Detailed Feasibility Inputs'!C29</f>
        <v>0</v>
      </c>
      <c r="D79" s="553">
        <f>IF(C79='Detailed Feasibility Inputs'!$B$40,'Detailed Feasibility Inputs'!$E$40,IF('Detailed Feasibility'!C79='Detailed Feasibility Inputs'!$B$41,'Detailed Feasibility Inputs'!$E$41,IF('Detailed Feasibility'!C79='Detailed Feasibility Inputs'!$B$42,'Detailed Feasibility Inputs'!$E$42,IF('Detailed Feasibility'!C79='Detailed Feasibility Inputs'!$B$43,'Detailed Feasibility Inputs'!$E$43,IF('Detailed Feasibility'!C79='Detailed Feasibility Inputs'!$B$44,'Detailed Feasibility Inputs'!$E$44,IF('Detailed Feasibility'!C79='Detailed Feasibility Inputs'!$B$45,'Detailed Feasibility Inputs'!$E$45,0))))))</f>
        <v>0</v>
      </c>
      <c r="E79" s="580">
        <v>0</v>
      </c>
      <c r="F79" s="580">
        <v>0</v>
      </c>
      <c r="G79" s="232">
        <v>0</v>
      </c>
      <c r="H79" s="389">
        <f t="shared" si="0"/>
        <v>0</v>
      </c>
      <c r="I79" s="48"/>
      <c r="J79" s="52">
        <f t="shared" si="1"/>
        <v>0</v>
      </c>
      <c r="K79" s="52">
        <f t="shared" si="2"/>
        <v>0</v>
      </c>
      <c r="L79" s="52">
        <f t="shared" si="3"/>
        <v>0</v>
      </c>
      <c r="M79" s="53">
        <f t="shared" si="4"/>
        <v>0</v>
      </c>
      <c r="N79" s="53">
        <f t="shared" si="5"/>
        <v>0</v>
      </c>
      <c r="O79" s="53">
        <f t="shared" si="6"/>
        <v>0</v>
      </c>
      <c r="P79" s="48"/>
      <c r="Q79" s="48"/>
      <c r="R79" s="48"/>
      <c r="S79" s="43"/>
      <c r="T79" s="43"/>
      <c r="U79" s="43"/>
      <c r="V79" s="15"/>
      <c r="W79" s="15"/>
      <c r="X79" s="15"/>
      <c r="Y79" s="15"/>
      <c r="Z79" s="15"/>
      <c r="AA79" s="15"/>
      <c r="AB79" s="15"/>
      <c r="AC79" s="15"/>
      <c r="AD79" s="15"/>
      <c r="BM79" s="198"/>
      <c r="BN79" s="198"/>
    </row>
    <row r="80" spans="2:66" ht="15" customHeight="1" x14ac:dyDescent="0.25">
      <c r="B80" s="245">
        <f>'Detailed Feasibility Inputs'!B30</f>
        <v>0</v>
      </c>
      <c r="C80" s="231">
        <f>'Detailed Feasibility Inputs'!C30</f>
        <v>0</v>
      </c>
      <c r="D80" s="553">
        <f>IF(C80='Detailed Feasibility Inputs'!$B$40,'Detailed Feasibility Inputs'!$E$40,IF('Detailed Feasibility'!C80='Detailed Feasibility Inputs'!$B$41,'Detailed Feasibility Inputs'!$E$41,IF('Detailed Feasibility'!C80='Detailed Feasibility Inputs'!$B$42,'Detailed Feasibility Inputs'!$E$42,IF('Detailed Feasibility'!C80='Detailed Feasibility Inputs'!$B$43,'Detailed Feasibility Inputs'!$E$43,IF('Detailed Feasibility'!C80='Detailed Feasibility Inputs'!$B$44,'Detailed Feasibility Inputs'!$E$44,IF('Detailed Feasibility'!C80='Detailed Feasibility Inputs'!$B$45,'Detailed Feasibility Inputs'!$E$45,0))))))</f>
        <v>0</v>
      </c>
      <c r="E80" s="580">
        <v>0</v>
      </c>
      <c r="F80" s="580">
        <v>0</v>
      </c>
      <c r="G80" s="232">
        <v>0</v>
      </c>
      <c r="H80" s="389">
        <f t="shared" si="0"/>
        <v>0</v>
      </c>
      <c r="I80" s="48"/>
      <c r="J80" s="52">
        <f t="shared" si="1"/>
        <v>0</v>
      </c>
      <c r="K80" s="52">
        <f t="shared" si="2"/>
        <v>0</v>
      </c>
      <c r="L80" s="52">
        <f t="shared" si="3"/>
        <v>0</v>
      </c>
      <c r="M80" s="53">
        <f t="shared" si="4"/>
        <v>0</v>
      </c>
      <c r="N80" s="53">
        <f t="shared" si="5"/>
        <v>0</v>
      </c>
      <c r="O80" s="53">
        <f t="shared" si="6"/>
        <v>0</v>
      </c>
      <c r="P80" s="48"/>
      <c r="Q80" s="48"/>
      <c r="R80" s="48"/>
      <c r="S80" s="43"/>
      <c r="T80" s="43"/>
      <c r="U80" s="43"/>
      <c r="V80" s="15"/>
      <c r="W80" s="15"/>
      <c r="X80" s="15"/>
      <c r="Y80" s="15"/>
      <c r="Z80" s="15"/>
      <c r="AA80" s="15"/>
      <c r="AB80" s="15"/>
      <c r="AC80" s="15"/>
      <c r="AD80" s="15"/>
      <c r="BM80" s="198"/>
      <c r="BN80" s="198"/>
    </row>
    <row r="81" spans="2:66" ht="15" customHeight="1" x14ac:dyDescent="0.25">
      <c r="B81" s="245">
        <f>'Detailed Feasibility Inputs'!B31</f>
        <v>0</v>
      </c>
      <c r="C81" s="231">
        <f>'Detailed Feasibility Inputs'!C31</f>
        <v>0</v>
      </c>
      <c r="D81" s="553">
        <f>IF(C81='Detailed Feasibility Inputs'!$B$40,'Detailed Feasibility Inputs'!$E$40,IF('Detailed Feasibility'!C81='Detailed Feasibility Inputs'!$B$41,'Detailed Feasibility Inputs'!$E$41,IF('Detailed Feasibility'!C81='Detailed Feasibility Inputs'!$B$42,'Detailed Feasibility Inputs'!$E$42,IF('Detailed Feasibility'!C81='Detailed Feasibility Inputs'!$B$43,'Detailed Feasibility Inputs'!$E$43,IF('Detailed Feasibility'!C81='Detailed Feasibility Inputs'!$B$44,'Detailed Feasibility Inputs'!$E$44,IF('Detailed Feasibility'!C81='Detailed Feasibility Inputs'!$B$45,'Detailed Feasibility Inputs'!$E$45,0))))))</f>
        <v>0</v>
      </c>
      <c r="E81" s="580">
        <v>0</v>
      </c>
      <c r="F81" s="580">
        <v>0</v>
      </c>
      <c r="G81" s="232">
        <v>0</v>
      </c>
      <c r="H81" s="389">
        <f t="shared" si="0"/>
        <v>0</v>
      </c>
      <c r="I81" s="48"/>
      <c r="J81" s="52">
        <f t="shared" si="1"/>
        <v>0</v>
      </c>
      <c r="K81" s="52">
        <f t="shared" si="2"/>
        <v>0</v>
      </c>
      <c r="L81" s="52">
        <f t="shared" si="3"/>
        <v>0</v>
      </c>
      <c r="M81" s="53">
        <f t="shared" si="4"/>
        <v>0</v>
      </c>
      <c r="N81" s="53">
        <f t="shared" si="5"/>
        <v>0</v>
      </c>
      <c r="O81" s="53">
        <f t="shared" si="6"/>
        <v>0</v>
      </c>
      <c r="P81" s="48"/>
      <c r="Q81" s="48"/>
      <c r="R81" s="48"/>
      <c r="S81" s="43"/>
      <c r="T81" s="43"/>
      <c r="U81" s="43"/>
      <c r="V81" s="15"/>
      <c r="W81" s="15"/>
      <c r="X81" s="15"/>
      <c r="Y81" s="15"/>
      <c r="Z81" s="15"/>
      <c r="AA81" s="15"/>
      <c r="AB81" s="15"/>
      <c r="AC81" s="15"/>
      <c r="AD81" s="15"/>
      <c r="BM81" s="198"/>
      <c r="BN81" s="198"/>
    </row>
    <row r="82" spans="2:66" ht="15" customHeight="1" x14ac:dyDescent="0.25">
      <c r="B82" s="245">
        <f>'Detailed Feasibility Inputs'!B32</f>
        <v>0</v>
      </c>
      <c r="C82" s="231">
        <f>'Detailed Feasibility Inputs'!C32</f>
        <v>0</v>
      </c>
      <c r="D82" s="553">
        <f>IF(C82='Detailed Feasibility Inputs'!$B$40,'Detailed Feasibility Inputs'!$E$40,IF('Detailed Feasibility'!C82='Detailed Feasibility Inputs'!$B$41,'Detailed Feasibility Inputs'!$E$41,IF('Detailed Feasibility'!C82='Detailed Feasibility Inputs'!$B$42,'Detailed Feasibility Inputs'!$E$42,IF('Detailed Feasibility'!C82='Detailed Feasibility Inputs'!$B$43,'Detailed Feasibility Inputs'!$E$43,IF('Detailed Feasibility'!C82='Detailed Feasibility Inputs'!$B$44,'Detailed Feasibility Inputs'!$E$44,IF('Detailed Feasibility'!C82='Detailed Feasibility Inputs'!$B$45,'Detailed Feasibility Inputs'!$E$45,0))))))</f>
        <v>0</v>
      </c>
      <c r="E82" s="580">
        <v>0</v>
      </c>
      <c r="F82" s="580">
        <v>0</v>
      </c>
      <c r="G82" s="232">
        <v>0</v>
      </c>
      <c r="H82" s="389">
        <f t="shared" si="0"/>
        <v>0</v>
      </c>
      <c r="I82" s="48"/>
      <c r="J82" s="52">
        <f t="shared" si="1"/>
        <v>0</v>
      </c>
      <c r="K82" s="52">
        <f t="shared" si="2"/>
        <v>0</v>
      </c>
      <c r="L82" s="52">
        <f t="shared" si="3"/>
        <v>0</v>
      </c>
      <c r="M82" s="53">
        <f t="shared" si="4"/>
        <v>0</v>
      </c>
      <c r="N82" s="53">
        <f t="shared" si="5"/>
        <v>0</v>
      </c>
      <c r="O82" s="53">
        <f t="shared" si="6"/>
        <v>0</v>
      </c>
      <c r="P82" s="48"/>
      <c r="Q82" s="48"/>
      <c r="R82" s="48"/>
      <c r="S82" s="43"/>
      <c r="T82" s="43"/>
      <c r="U82" s="43"/>
      <c r="V82" s="15"/>
      <c r="W82" s="15"/>
      <c r="X82" s="15"/>
      <c r="Y82" s="15"/>
      <c r="Z82" s="15"/>
      <c r="AA82" s="15"/>
      <c r="AB82" s="15"/>
      <c r="AC82" s="15"/>
      <c r="AD82" s="15"/>
      <c r="BM82" s="198"/>
      <c r="BN82" s="198"/>
    </row>
    <row r="83" spans="2:66" ht="15" customHeight="1" x14ac:dyDescent="0.25">
      <c r="B83" s="245">
        <f>'Detailed Feasibility Inputs'!B33</f>
        <v>0</v>
      </c>
      <c r="C83" s="231">
        <f>'Detailed Feasibility Inputs'!C33</f>
        <v>0</v>
      </c>
      <c r="D83" s="553">
        <f>IF(C83='Detailed Feasibility Inputs'!$B$40,'Detailed Feasibility Inputs'!$E$40,IF('Detailed Feasibility'!C83='Detailed Feasibility Inputs'!$B$41,'Detailed Feasibility Inputs'!$E$41,IF('Detailed Feasibility'!C83='Detailed Feasibility Inputs'!$B$42,'Detailed Feasibility Inputs'!$E$42,IF('Detailed Feasibility'!C83='Detailed Feasibility Inputs'!$B$43,'Detailed Feasibility Inputs'!$E$43,IF('Detailed Feasibility'!C83='Detailed Feasibility Inputs'!$B$44,'Detailed Feasibility Inputs'!$E$44,IF('Detailed Feasibility'!C83='Detailed Feasibility Inputs'!$B$45,'Detailed Feasibility Inputs'!$E$45,0))))))</f>
        <v>0</v>
      </c>
      <c r="E83" s="580">
        <v>0</v>
      </c>
      <c r="F83" s="580">
        <v>0</v>
      </c>
      <c r="G83" s="232">
        <v>0</v>
      </c>
      <c r="H83" s="389">
        <f t="shared" si="0"/>
        <v>0</v>
      </c>
      <c r="I83" s="48"/>
      <c r="J83" s="52">
        <f t="shared" si="1"/>
        <v>0</v>
      </c>
      <c r="K83" s="52">
        <f t="shared" si="2"/>
        <v>0</v>
      </c>
      <c r="L83" s="52">
        <f t="shared" si="3"/>
        <v>0</v>
      </c>
      <c r="M83" s="53">
        <f t="shared" si="4"/>
        <v>0</v>
      </c>
      <c r="N83" s="53">
        <f t="shared" si="5"/>
        <v>0</v>
      </c>
      <c r="O83" s="53">
        <f t="shared" si="6"/>
        <v>0</v>
      </c>
      <c r="P83" s="48"/>
      <c r="Q83" s="48"/>
      <c r="R83" s="48"/>
      <c r="S83" s="43"/>
      <c r="T83" s="43"/>
      <c r="U83" s="43"/>
      <c r="V83" s="15"/>
      <c r="W83" s="15"/>
      <c r="X83" s="15"/>
      <c r="Y83" s="15"/>
      <c r="Z83" s="15"/>
      <c r="AA83" s="15"/>
      <c r="AB83" s="15"/>
      <c r="AC83" s="15"/>
      <c r="AD83" s="15"/>
      <c r="BM83" s="198"/>
      <c r="BN83" s="198"/>
    </row>
    <row r="84" spans="2:66" ht="15" customHeight="1" x14ac:dyDescent="0.25">
      <c r="B84" s="248">
        <f>'Detailed Feasibility Inputs'!B34</f>
        <v>0</v>
      </c>
      <c r="C84" s="249">
        <f>'Detailed Feasibility Inputs'!C34</f>
        <v>0</v>
      </c>
      <c r="D84" s="255">
        <f>IF(C84='Detailed Feasibility Inputs'!$B$40,'Detailed Feasibility Inputs'!$E$40,IF('Detailed Feasibility'!C84='Detailed Feasibility Inputs'!$B$41,'Detailed Feasibility Inputs'!$E$41,IF('Detailed Feasibility'!C84='Detailed Feasibility Inputs'!$B$42,'Detailed Feasibility Inputs'!$E$42,IF('Detailed Feasibility'!C84='Detailed Feasibility Inputs'!$B$43,'Detailed Feasibility Inputs'!$E$43,IF('Detailed Feasibility'!C84='Detailed Feasibility Inputs'!$B$44,'Detailed Feasibility Inputs'!$E$44,IF('Detailed Feasibility'!C84='Detailed Feasibility Inputs'!$B$45,'Detailed Feasibility Inputs'!$E$45,0))))))</f>
        <v>0</v>
      </c>
      <c r="E84" s="581">
        <v>0</v>
      </c>
      <c r="F84" s="581">
        <v>0</v>
      </c>
      <c r="G84" s="235">
        <v>0</v>
      </c>
      <c r="H84" s="389">
        <f t="shared" si="0"/>
        <v>0</v>
      </c>
      <c r="I84" s="48"/>
      <c r="J84" s="52">
        <f t="shared" si="1"/>
        <v>0</v>
      </c>
      <c r="K84" s="52">
        <f t="shared" si="2"/>
        <v>0</v>
      </c>
      <c r="L84" s="52">
        <f t="shared" si="3"/>
        <v>0</v>
      </c>
      <c r="M84" s="53">
        <f t="shared" si="4"/>
        <v>0</v>
      </c>
      <c r="N84" s="53">
        <f t="shared" si="5"/>
        <v>0</v>
      </c>
      <c r="O84" s="53">
        <f t="shared" si="6"/>
        <v>0</v>
      </c>
      <c r="P84" s="48"/>
      <c r="Q84" s="48"/>
      <c r="R84" s="48"/>
      <c r="S84" s="43"/>
      <c r="T84" s="43"/>
      <c r="U84" s="43"/>
      <c r="V84" s="15"/>
      <c r="W84" s="15"/>
      <c r="X84" s="15"/>
      <c r="Y84" s="15"/>
      <c r="Z84" s="15"/>
      <c r="AA84" s="15"/>
      <c r="AB84" s="15"/>
      <c r="AC84" s="15"/>
      <c r="AD84" s="15"/>
      <c r="BM84" s="198"/>
      <c r="BN84" s="198"/>
    </row>
    <row r="85" spans="2:66" x14ac:dyDescent="0.25">
      <c r="B85" s="258"/>
      <c r="C85" s="258"/>
      <c r="D85" s="212"/>
      <c r="E85" s="212"/>
      <c r="F85" s="212"/>
      <c r="G85" s="502"/>
      <c r="H85" s="389"/>
      <c r="I85" s="52"/>
      <c r="J85" s="52"/>
      <c r="K85" s="52"/>
      <c r="L85" s="52"/>
      <c r="M85" s="53"/>
      <c r="N85" s="53"/>
      <c r="O85" s="53"/>
      <c r="P85" s="53"/>
      <c r="Q85" s="48"/>
      <c r="R85" s="48"/>
      <c r="S85" s="43"/>
      <c r="T85" s="43"/>
      <c r="U85" s="43"/>
      <c r="V85" s="15"/>
      <c r="W85" s="15"/>
      <c r="X85" s="15"/>
      <c r="Y85" s="15"/>
      <c r="Z85" s="15"/>
      <c r="AA85" s="15"/>
      <c r="AB85" s="15"/>
      <c r="AC85" s="15"/>
      <c r="AD85" s="15"/>
      <c r="BM85" s="198"/>
      <c r="BN85" s="198"/>
    </row>
    <row r="86" spans="2:66" collapsed="1" x14ac:dyDescent="0.25">
      <c r="B86" s="223" t="s">
        <v>199</v>
      </c>
      <c r="C86" s="312"/>
      <c r="D86" s="251"/>
      <c r="E86" s="251"/>
      <c r="F86" s="251"/>
      <c r="G86" s="198"/>
      <c r="H86" s="48"/>
      <c r="I86" s="48"/>
      <c r="J86" s="52"/>
      <c r="K86" s="52"/>
      <c r="L86" s="52"/>
      <c r="M86" s="52"/>
      <c r="N86" s="53"/>
      <c r="O86" s="53"/>
      <c r="P86" s="53"/>
      <c r="Q86" s="181"/>
      <c r="R86" s="43"/>
      <c r="S86" s="43"/>
      <c r="T86" s="43"/>
      <c r="U86" s="43"/>
      <c r="V86" s="15"/>
      <c r="W86" s="15"/>
      <c r="X86" s="15"/>
      <c r="Y86" s="15"/>
      <c r="Z86" s="15"/>
      <c r="AA86" s="15"/>
      <c r="AB86" s="15"/>
      <c r="AC86" s="15"/>
      <c r="AD86" s="15"/>
      <c r="BM86" s="198"/>
      <c r="BN86" s="198"/>
    </row>
    <row r="87" spans="2:66" x14ac:dyDescent="0.25">
      <c r="B87" s="346" t="s">
        <v>291</v>
      </c>
      <c r="C87" s="289"/>
      <c r="D87" s="289"/>
      <c r="E87" s="289"/>
      <c r="F87" s="289"/>
      <c r="G87" s="289"/>
      <c r="H87" s="289"/>
      <c r="I87" s="289"/>
      <c r="J87" s="289"/>
      <c r="K87" s="409"/>
      <c r="L87" s="409"/>
      <c r="M87" s="409"/>
      <c r="N87" s="181"/>
      <c r="O87" s="181"/>
      <c r="P87" s="181"/>
      <c r="Q87" s="181"/>
      <c r="R87" s="43"/>
      <c r="BM87" s="198"/>
      <c r="BN87" s="198"/>
    </row>
    <row r="88" spans="2:66" x14ac:dyDescent="0.25">
      <c r="C88" s="289"/>
      <c r="D88" s="289"/>
      <c r="E88" s="289"/>
      <c r="F88" s="289"/>
      <c r="G88" s="289"/>
      <c r="H88" s="289"/>
      <c r="I88" s="289"/>
      <c r="J88" s="289"/>
      <c r="K88" s="409"/>
      <c r="L88" s="409"/>
      <c r="M88" s="409"/>
      <c r="N88" s="181"/>
      <c r="O88" s="181"/>
      <c r="P88" s="181"/>
      <c r="Q88" s="181"/>
      <c r="R88" s="43"/>
      <c r="BM88" s="198"/>
      <c r="BN88" s="198"/>
    </row>
    <row r="89" spans="2:66" x14ac:dyDescent="0.25">
      <c r="B89" s="823" t="s">
        <v>200</v>
      </c>
      <c r="C89" s="824"/>
      <c r="D89" s="824"/>
      <c r="E89" s="824"/>
      <c r="F89" s="825"/>
      <c r="G89" s="823" t="s">
        <v>408</v>
      </c>
      <c r="H89" s="824"/>
      <c r="I89" s="824"/>
      <c r="J89" s="824"/>
      <c r="K89" s="825"/>
      <c r="L89" s="409"/>
      <c r="M89" s="409"/>
      <c r="N89" s="181"/>
      <c r="O89" s="181"/>
      <c r="P89" s="181"/>
      <c r="Q89" s="181"/>
      <c r="R89" s="43"/>
      <c r="BM89" s="198"/>
      <c r="BN89" s="198"/>
    </row>
    <row r="90" spans="2:66" x14ac:dyDescent="0.25">
      <c r="B90" s="826"/>
      <c r="C90" s="827"/>
      <c r="D90" s="827"/>
      <c r="E90" s="827"/>
      <c r="F90" s="828"/>
      <c r="G90" s="826"/>
      <c r="H90" s="827"/>
      <c r="I90" s="827"/>
      <c r="J90" s="827"/>
      <c r="K90" s="828"/>
      <c r="L90" s="409"/>
      <c r="M90" s="409"/>
      <c r="N90" s="181"/>
      <c r="O90" s="181"/>
      <c r="P90" s="181"/>
      <c r="Q90" s="181"/>
      <c r="R90" s="43"/>
      <c r="BM90" s="198"/>
      <c r="BN90" s="198"/>
    </row>
    <row r="91" spans="2:66" x14ac:dyDescent="0.25">
      <c r="B91" s="252" t="s">
        <v>101</v>
      </c>
      <c r="C91" s="313" t="s">
        <v>106</v>
      </c>
      <c r="D91" s="313" t="s">
        <v>465</v>
      </c>
      <c r="E91" s="313" t="s">
        <v>202</v>
      </c>
      <c r="F91" s="314" t="s">
        <v>203</v>
      </c>
      <c r="G91" s="313" t="s">
        <v>204</v>
      </c>
      <c r="H91" s="238" t="s">
        <v>493</v>
      </c>
      <c r="I91" s="313" t="s">
        <v>205</v>
      </c>
      <c r="J91" s="313" t="s">
        <v>206</v>
      </c>
      <c r="K91" s="314" t="s">
        <v>207</v>
      </c>
      <c r="L91" s="409"/>
      <c r="M91" s="409"/>
      <c r="N91" s="181"/>
      <c r="O91" s="181"/>
      <c r="P91" s="181"/>
      <c r="Q91" s="181"/>
      <c r="R91" s="43"/>
      <c r="BM91" s="198"/>
      <c r="BN91" s="198"/>
    </row>
    <row r="92" spans="2:66" x14ac:dyDescent="0.25">
      <c r="B92" s="208"/>
      <c r="C92" s="258"/>
      <c r="D92" s="209"/>
      <c r="E92" s="209"/>
      <c r="F92" s="253"/>
      <c r="G92" s="56">
        <f>IF(C99=Codes!$N$4,Codes!$O$4,IF(C99=Codes!$N$5,Codes!$O$5,IF(C99=Codes!$N$6,Codes!$O$6,0)))</f>
        <v>0.3</v>
      </c>
      <c r="H92" s="56">
        <f>IF(C99=Codes!$N$4,Codes!$P$4,IF(C99=Codes!$N$5,Codes!$P$5,IF(C99=Codes!$N$6,Codes!$P$6,0)))</f>
        <v>0</v>
      </c>
      <c r="I92" s="56">
        <f>IF(C99=Codes!$N$4,Codes!$Q$4,IF(C99=Codes!$N$5,Codes!$Q$5,IF(C99=Codes!$N$6,Codes!$Q$6,0)))</f>
        <v>0.3</v>
      </c>
      <c r="J92" s="56">
        <f>IF(C99=Codes!$N$4,Codes!$R$4,IF(C99=Codes!$N$5,Codes!$R$5,IF(C99=Codes!$N$6,Codes!$R$6,0)))</f>
        <v>0.4</v>
      </c>
      <c r="K92" s="254"/>
      <c r="L92" s="409"/>
      <c r="M92" s="409"/>
      <c r="N92" s="181"/>
      <c r="O92" s="181"/>
      <c r="P92" s="181"/>
      <c r="Q92" s="181"/>
      <c r="R92" s="43"/>
      <c r="BM92" s="198"/>
      <c r="BN92" s="198"/>
    </row>
    <row r="93" spans="2:66" x14ac:dyDescent="0.25">
      <c r="B93" s="57" t="str">
        <f>'Detailed Feasibility Inputs'!E16</f>
        <v>1 Bed</v>
      </c>
      <c r="C93" s="258">
        <f>'Detailed Feasibility Inputs'!F16</f>
        <v>2</v>
      </c>
      <c r="D93" s="59">
        <f>IF(C93&gt;0,('Detailed Feasibility Inputs'!$E$40+('Detailed Feasibility Inputs'!$E$40*'Detailed Feasibility Inputs'!$E$46)+('Detailed Feasibility Inputs'!$F$96/'Detailed Feasibility Inputs'!$F$22)),0)</f>
        <v>361629.16666666663</v>
      </c>
      <c r="E93" s="606">
        <v>0.5</v>
      </c>
      <c r="F93" s="217">
        <f>D93*E93</f>
        <v>180814.58333333331</v>
      </c>
      <c r="G93" s="212">
        <f>IF(C93=0,0,$F$93*$G$92)</f>
        <v>54244.374999999993</v>
      </c>
      <c r="H93" s="212">
        <f>IF(D93=0,0,$F$93*$H$92)</f>
        <v>0</v>
      </c>
      <c r="I93" s="212">
        <f>IF(C93=0,0,$F$93*$I$92)</f>
        <v>54244.374999999993</v>
      </c>
      <c r="J93" s="212">
        <f>IF(C93=0,0,$F$93*$J$92)</f>
        <v>72325.833333333328</v>
      </c>
      <c r="K93" s="217">
        <f t="shared" ref="K93:K98" si="7">F93*C93</f>
        <v>361629.16666666663</v>
      </c>
      <c r="L93" s="409"/>
      <c r="M93" s="409"/>
      <c r="N93" s="181"/>
      <c r="O93" s="181"/>
      <c r="P93" s="181"/>
      <c r="Q93" s="181"/>
      <c r="R93" s="43"/>
      <c r="BM93" s="198"/>
      <c r="BN93" s="198"/>
    </row>
    <row r="94" spans="2:66" x14ac:dyDescent="0.25">
      <c r="B94" s="57" t="str">
        <f>'Detailed Feasibility Inputs'!E17</f>
        <v>2 Bed</v>
      </c>
      <c r="C94" s="258">
        <f>'Detailed Feasibility Inputs'!F17</f>
        <v>2</v>
      </c>
      <c r="D94" s="59">
        <f>IF(C94&gt;0,('Detailed Feasibility Inputs'!$E$41+('Detailed Feasibility Inputs'!$E$41*'Detailed Feasibility Inputs'!$E$46))+('Detailed Feasibility Inputs'!$F$96/'Detailed Feasibility Inputs'!$F$22),0)</f>
        <v>419129.16666666663</v>
      </c>
      <c r="E94" s="606">
        <v>0.5</v>
      </c>
      <c r="F94" s="217">
        <f>D94*E94</f>
        <v>209564.58333333331</v>
      </c>
      <c r="G94" s="212">
        <f>IF(C94=0,0,$F$94*$G$92)</f>
        <v>62869.374999999993</v>
      </c>
      <c r="H94" s="212">
        <f>IF(D94=0,0,$F$93*$H$92)</f>
        <v>0</v>
      </c>
      <c r="I94" s="212">
        <f>IF(C94=0,0,$F$94*$I$92)</f>
        <v>62869.374999999993</v>
      </c>
      <c r="J94" s="212">
        <f>IF(C94=0,0,$F$94*$J$92)</f>
        <v>83825.833333333328</v>
      </c>
      <c r="K94" s="217">
        <f t="shared" si="7"/>
        <v>419129.16666666663</v>
      </c>
      <c r="L94" s="409"/>
      <c r="M94" s="409"/>
      <c r="N94" s="181"/>
      <c r="O94" s="181"/>
      <c r="P94" s="181"/>
      <c r="Q94" s="181"/>
      <c r="R94" s="43"/>
      <c r="BM94" s="198"/>
      <c r="BN94" s="198"/>
    </row>
    <row r="95" spans="2:66" x14ac:dyDescent="0.25">
      <c r="B95" s="57" t="str">
        <f>'Detailed Feasibility Inputs'!E18</f>
        <v>3 Bed</v>
      </c>
      <c r="C95" s="258">
        <f>'Detailed Feasibility Inputs'!F18</f>
        <v>2</v>
      </c>
      <c r="D95" s="59">
        <f>IF(C95&gt;0,('Detailed Feasibility Inputs'!$E$42+('Detailed Feasibility Inputs'!$E$42*'Detailed Feasibility Inputs'!$E$46))+('Detailed Feasibility Inputs'!$F$96/'Detailed Feasibility Inputs'!$F$22),0)</f>
        <v>476629.16666666663</v>
      </c>
      <c r="E95" s="606">
        <v>0.5</v>
      </c>
      <c r="F95" s="217">
        <f t="shared" ref="F95:F98" si="8">D95*E95</f>
        <v>238314.58333333331</v>
      </c>
      <c r="G95" s="212">
        <f>IF(C95=0,0,$F$95*$G$92)</f>
        <v>71494.374999999985</v>
      </c>
      <c r="H95" s="212">
        <f t="shared" ref="H95:H98" si="9">IF(D95=0,0,$F$93*$H$92)</f>
        <v>0</v>
      </c>
      <c r="I95" s="212">
        <f>IF(C95=0,0,$F$95*$I$92)</f>
        <v>71494.374999999985</v>
      </c>
      <c r="J95" s="212">
        <f>IF(C95=0,0,$F$95*$J$92)</f>
        <v>95325.833333333328</v>
      </c>
      <c r="K95" s="217">
        <f t="shared" si="7"/>
        <v>476629.16666666663</v>
      </c>
      <c r="L95" s="409"/>
      <c r="M95" s="409"/>
      <c r="N95" s="181"/>
      <c r="O95" s="181"/>
      <c r="P95" s="181"/>
      <c r="Q95" s="181"/>
      <c r="R95" s="43"/>
      <c r="BM95" s="198"/>
      <c r="BN95" s="198"/>
    </row>
    <row r="96" spans="2:66" x14ac:dyDescent="0.25">
      <c r="B96" s="57" t="str">
        <f>'Detailed Feasibility Inputs'!E19</f>
        <v>4 Bed</v>
      </c>
      <c r="C96" s="258">
        <f>'Detailed Feasibility Inputs'!F19</f>
        <v>2</v>
      </c>
      <c r="D96" s="59">
        <f>IF(C96&gt;0,('Detailed Feasibility Inputs'!$E$43+('Detailed Feasibility Inputs'!$E$43*'Detailed Feasibility Inputs'!$E$46))+('Detailed Feasibility Inputs'!$F$96/'Detailed Feasibility Inputs'!$F$22),0)</f>
        <v>562879.16666666663</v>
      </c>
      <c r="E96" s="606">
        <v>0.5</v>
      </c>
      <c r="F96" s="217">
        <f t="shared" si="8"/>
        <v>281439.58333333331</v>
      </c>
      <c r="G96" s="212">
        <f>IF(C96=0,0,$F$96*$G$92)</f>
        <v>84431.874999999985</v>
      </c>
      <c r="H96" s="212">
        <f t="shared" si="9"/>
        <v>0</v>
      </c>
      <c r="I96" s="212">
        <f>IF(C96=0,0,$F$96*$I$92)</f>
        <v>84431.874999999985</v>
      </c>
      <c r="J96" s="212">
        <f>IF(C96=0,0,$F$96*$J$92)</f>
        <v>112575.83333333333</v>
      </c>
      <c r="K96" s="217">
        <f t="shared" si="7"/>
        <v>562879.16666666663</v>
      </c>
      <c r="L96" s="409"/>
      <c r="M96" s="409"/>
      <c r="N96" s="181"/>
      <c r="O96" s="181"/>
      <c r="P96" s="181"/>
      <c r="Q96" s="181"/>
      <c r="R96" s="43"/>
      <c r="BM96" s="198"/>
      <c r="BN96" s="198"/>
    </row>
    <row r="97" spans="2:66" x14ac:dyDescent="0.25">
      <c r="B97" s="57" t="str">
        <f>'Detailed Feasibility Inputs'!E20</f>
        <v>5 Bed</v>
      </c>
      <c r="C97" s="258">
        <f>'Detailed Feasibility Inputs'!F20</f>
        <v>2</v>
      </c>
      <c r="D97" s="59">
        <f>IF(C97&gt;0,('Detailed Feasibility Inputs'!$E$44+('Detailed Feasibility Inputs'!$E$44*'Detailed Feasibility Inputs'!$E$46))+('Detailed Feasibility Inputs'!$F$96/'Detailed Feasibility Inputs'!$F$22),0)</f>
        <v>591629.16666666663</v>
      </c>
      <c r="E97" s="606">
        <v>0.5</v>
      </c>
      <c r="F97" s="217">
        <f t="shared" si="8"/>
        <v>295814.58333333331</v>
      </c>
      <c r="G97" s="212">
        <f>IF(C97=0,0,$F$97*$G$92)</f>
        <v>88744.374999999985</v>
      </c>
      <c r="H97" s="212">
        <f t="shared" si="9"/>
        <v>0</v>
      </c>
      <c r="I97" s="212">
        <f>IF(C97=0,0,$F$97*$I$92)</f>
        <v>88744.374999999985</v>
      </c>
      <c r="J97" s="212">
        <f>IF(C97=0,0,$F$97*$J$92)</f>
        <v>118325.83333333333</v>
      </c>
      <c r="K97" s="217">
        <f t="shared" si="7"/>
        <v>591629.16666666663</v>
      </c>
      <c r="L97" s="409"/>
      <c r="M97" s="409"/>
      <c r="N97" s="181"/>
      <c r="O97" s="181"/>
      <c r="P97" s="181"/>
      <c r="Q97" s="181"/>
      <c r="R97" s="43"/>
      <c r="BM97" s="198"/>
      <c r="BN97" s="198"/>
    </row>
    <row r="98" spans="2:66" x14ac:dyDescent="0.25">
      <c r="B98" s="57" t="str">
        <f>'Detailed Feasibility Inputs'!E21</f>
        <v>6 Bed</v>
      </c>
      <c r="C98" s="258">
        <f>'Detailed Feasibility Inputs'!F21</f>
        <v>2</v>
      </c>
      <c r="D98" s="59">
        <f>IF(C98&gt;0,('Detailed Feasibility Inputs'!$E$45+('Detailed Feasibility Inputs'!$E$45*'Detailed Feasibility Inputs'!$E$46))+('Detailed Feasibility Inputs'!$F$96/'Detailed Feasibility Inputs'!$F$22),0)</f>
        <v>677879.16666666663</v>
      </c>
      <c r="E98" s="606">
        <v>0.5</v>
      </c>
      <c r="F98" s="217">
        <f t="shared" si="8"/>
        <v>338939.58333333331</v>
      </c>
      <c r="G98" s="212">
        <f>IF(C98=0,0,$F$98*$G$92)</f>
        <v>101681.87499999999</v>
      </c>
      <c r="H98" s="212">
        <f t="shared" si="9"/>
        <v>0</v>
      </c>
      <c r="I98" s="212">
        <f>IF(C98=0,0,$F$98*$I$92)</f>
        <v>101681.87499999999</v>
      </c>
      <c r="J98" s="212">
        <f>IF(C98=0,0,$F$98*$J$92)</f>
        <v>135575.83333333334</v>
      </c>
      <c r="K98" s="217">
        <f t="shared" si="7"/>
        <v>677879.16666666663</v>
      </c>
      <c r="L98" s="409"/>
      <c r="M98" s="409"/>
      <c r="N98" s="181"/>
      <c r="O98" s="181"/>
      <c r="P98" s="181"/>
      <c r="Q98" s="181"/>
      <c r="R98" s="43"/>
      <c r="BM98" s="198"/>
      <c r="BN98" s="198"/>
    </row>
    <row r="99" spans="2:66" x14ac:dyDescent="0.25">
      <c r="B99" s="829" t="s">
        <v>292</v>
      </c>
      <c r="C99" s="831" t="s">
        <v>208</v>
      </c>
      <c r="D99" s="832"/>
      <c r="E99" s="832"/>
      <c r="F99" s="833"/>
      <c r="G99" s="842" t="s">
        <v>209</v>
      </c>
      <c r="H99" s="843"/>
      <c r="I99" s="843"/>
      <c r="J99" s="844"/>
      <c r="K99" s="490" t="s">
        <v>210</v>
      </c>
      <c r="L99" s="409"/>
      <c r="M99" s="409"/>
      <c r="N99" s="181"/>
      <c r="O99" s="181"/>
      <c r="P99" s="181"/>
      <c r="Q99" s="181"/>
      <c r="R99" s="43"/>
      <c r="BM99" s="198"/>
      <c r="BN99" s="198"/>
    </row>
    <row r="100" spans="2:66" x14ac:dyDescent="0.25">
      <c r="B100" s="830"/>
      <c r="C100" s="834"/>
      <c r="D100" s="835"/>
      <c r="E100" s="835"/>
      <c r="F100" s="836"/>
      <c r="G100" s="732">
        <f>G92*$K$100</f>
        <v>926932.49999999988</v>
      </c>
      <c r="H100" s="201">
        <f>H92*$K$100</f>
        <v>0</v>
      </c>
      <c r="I100" s="201">
        <f>I92*$K$100</f>
        <v>926932.49999999988</v>
      </c>
      <c r="J100" s="250">
        <f>J92*$K$100</f>
        <v>1235909.9999999998</v>
      </c>
      <c r="K100" s="255">
        <f>SUM(K93:K98)</f>
        <v>3089774.9999999995</v>
      </c>
      <c r="L100" s="409"/>
      <c r="M100" s="409"/>
      <c r="N100" s="181"/>
      <c r="O100" s="181"/>
      <c r="P100" s="181"/>
      <c r="Q100" s="181"/>
      <c r="R100" s="43"/>
      <c r="BM100" s="198"/>
      <c r="BN100" s="198"/>
    </row>
    <row r="101" spans="2:66" s="198" customFormat="1" x14ac:dyDescent="0.25">
      <c r="D101" s="227"/>
      <c r="J101" s="52"/>
      <c r="K101" s="409"/>
      <c r="L101" s="409"/>
      <c r="M101" s="409"/>
      <c r="N101" s="181"/>
      <c r="O101" s="181"/>
      <c r="P101" s="181"/>
      <c r="Q101" s="181"/>
      <c r="R101" s="43"/>
    </row>
    <row r="102" spans="2:66" s="198" customFormat="1" x14ac:dyDescent="0.25">
      <c r="B102" s="223" t="s">
        <v>404</v>
      </c>
      <c r="C102" s="223"/>
      <c r="D102" s="223"/>
      <c r="E102" s="223"/>
      <c r="J102" s="52"/>
      <c r="K102" s="409"/>
      <c r="L102" s="409"/>
      <c r="M102" s="409"/>
      <c r="N102" s="181"/>
      <c r="O102" s="181"/>
      <c r="P102" s="181"/>
      <c r="Q102" s="181"/>
      <c r="R102" s="43"/>
    </row>
    <row r="103" spans="2:66" s="198" customFormat="1" x14ac:dyDescent="0.25">
      <c r="K103" s="409"/>
      <c r="L103" s="409"/>
      <c r="M103" s="409"/>
      <c r="N103" s="43"/>
      <c r="O103" s="181"/>
      <c r="P103" s="181"/>
      <c r="Q103" s="181"/>
      <c r="R103" s="181"/>
      <c r="AK103" s="290"/>
      <c r="AL103" s="34"/>
      <c r="AN103" s="35"/>
      <c r="AO103" s="291"/>
    </row>
    <row r="104" spans="2:66" s="198" customFormat="1" x14ac:dyDescent="0.25">
      <c r="B104" s="577" t="s">
        <v>211</v>
      </c>
      <c r="C104" s="578" t="s">
        <v>212</v>
      </c>
      <c r="D104" s="578" t="s">
        <v>129</v>
      </c>
      <c r="E104" s="579" t="s">
        <v>213</v>
      </c>
      <c r="J104" s="51"/>
      <c r="K104" s="409"/>
      <c r="L104" s="409"/>
      <c r="M104" s="409"/>
      <c r="N104" s="43"/>
      <c r="O104" s="181"/>
      <c r="P104" s="181"/>
      <c r="Q104" s="181"/>
      <c r="R104" s="181"/>
      <c r="AK104" s="290"/>
      <c r="AL104" s="34"/>
      <c r="AN104" s="35"/>
      <c r="AO104" s="291"/>
    </row>
    <row r="105" spans="2:66" s="198" customFormat="1" x14ac:dyDescent="0.25">
      <c r="B105" s="57" t="s">
        <v>214</v>
      </c>
      <c r="C105" s="538">
        <f t="shared" ref="C105:C110" si="10">D105/$D$111</f>
        <v>1</v>
      </c>
      <c r="D105" s="59">
        <f>$K$100</f>
        <v>3089774.9999999995</v>
      </c>
      <c r="E105" s="60"/>
      <c r="J105" s="51"/>
      <c r="K105" s="409"/>
      <c r="L105" s="409"/>
      <c r="M105" s="409"/>
      <c r="N105" s="43"/>
      <c r="O105" s="181"/>
      <c r="P105" s="181"/>
      <c r="Q105" s="181"/>
      <c r="R105" s="181"/>
      <c r="AK105" s="290"/>
      <c r="AL105" s="34"/>
      <c r="AN105" s="35"/>
      <c r="AO105" s="291"/>
    </row>
    <row r="106" spans="2:66" s="198" customFormat="1" x14ac:dyDescent="0.25">
      <c r="B106" s="62" t="s">
        <v>215</v>
      </c>
      <c r="C106" s="538">
        <f t="shared" si="10"/>
        <v>0</v>
      </c>
      <c r="D106" s="25"/>
      <c r="E106" s="61"/>
      <c r="J106" s="51"/>
      <c r="K106" s="409"/>
      <c r="L106" s="409"/>
      <c r="M106" s="409"/>
      <c r="N106" s="43"/>
      <c r="O106" s="181"/>
      <c r="P106" s="181"/>
      <c r="Q106" s="181"/>
      <c r="R106" s="181"/>
      <c r="AK106" s="290"/>
      <c r="AL106" s="34"/>
      <c r="AN106" s="35"/>
      <c r="AO106" s="291"/>
    </row>
    <row r="107" spans="2:66" s="198" customFormat="1" x14ac:dyDescent="0.25">
      <c r="B107" s="62" t="s">
        <v>216</v>
      </c>
      <c r="C107" s="538">
        <f t="shared" si="10"/>
        <v>0</v>
      </c>
      <c r="D107" s="25"/>
      <c r="E107" s="61"/>
      <c r="J107" s="51"/>
      <c r="K107" s="52"/>
      <c r="L107" s="409"/>
      <c r="M107" s="409"/>
      <c r="N107" s="43"/>
      <c r="O107" s="181"/>
      <c r="P107" s="181"/>
      <c r="Q107" s="181"/>
      <c r="R107" s="181"/>
      <c r="AK107" s="290"/>
      <c r="AL107" s="34"/>
      <c r="AN107" s="35"/>
      <c r="AO107" s="291"/>
    </row>
    <row r="108" spans="2:66" s="198" customFormat="1" x14ac:dyDescent="0.25">
      <c r="B108" s="62" t="s">
        <v>216</v>
      </c>
      <c r="C108" s="538">
        <f t="shared" si="10"/>
        <v>0</v>
      </c>
      <c r="D108" s="25"/>
      <c r="E108" s="61"/>
      <c r="J108" s="51"/>
      <c r="K108" s="52"/>
      <c r="L108" s="409"/>
      <c r="M108" s="409"/>
      <c r="N108" s="43"/>
      <c r="O108" s="181"/>
      <c r="P108" s="181"/>
      <c r="Q108" s="181"/>
      <c r="R108" s="181"/>
      <c r="AK108" s="290"/>
      <c r="AL108" s="34"/>
      <c r="AN108" s="35"/>
      <c r="AO108" s="291"/>
    </row>
    <row r="109" spans="2:66" s="198" customFormat="1" x14ac:dyDescent="0.25">
      <c r="B109" s="62" t="s">
        <v>216</v>
      </c>
      <c r="C109" s="538">
        <f t="shared" si="10"/>
        <v>0</v>
      </c>
      <c r="D109" s="25"/>
      <c r="E109" s="61"/>
      <c r="J109" s="51"/>
      <c r="K109" s="52"/>
      <c r="L109" s="409"/>
      <c r="M109" s="409"/>
      <c r="N109" s="43"/>
      <c r="O109" s="181"/>
      <c r="P109" s="181"/>
      <c r="Q109" s="181"/>
      <c r="R109" s="181"/>
      <c r="AK109" s="290"/>
      <c r="AL109" s="34"/>
      <c r="AN109" s="35"/>
      <c r="AO109" s="291"/>
    </row>
    <row r="110" spans="2:66" s="198" customFormat="1" x14ac:dyDescent="0.25">
      <c r="B110" s="62" t="s">
        <v>216</v>
      </c>
      <c r="C110" s="538">
        <f t="shared" si="10"/>
        <v>0</v>
      </c>
      <c r="D110" s="25"/>
      <c r="E110" s="61"/>
      <c r="J110" s="51"/>
      <c r="K110" s="52"/>
      <c r="L110" s="409"/>
      <c r="M110" s="409"/>
      <c r="N110" s="43"/>
      <c r="O110" s="181"/>
      <c r="P110" s="181"/>
      <c r="Q110" s="181"/>
      <c r="R110" s="181"/>
      <c r="AK110" s="290"/>
      <c r="AL110" s="34"/>
      <c r="AN110" s="35"/>
      <c r="AO110" s="291"/>
    </row>
    <row r="111" spans="2:66" s="198" customFormat="1" x14ac:dyDescent="0.25">
      <c r="B111" s="520" t="s">
        <v>217</v>
      </c>
      <c r="C111" s="68">
        <f>SUM(C105:C110)</f>
        <v>1</v>
      </c>
      <c r="D111" s="518">
        <f>SUM(D105:D110)</f>
        <v>3089774.9999999995</v>
      </c>
      <c r="E111" s="60"/>
      <c r="J111" s="51"/>
      <c r="K111" s="52"/>
      <c r="L111" s="409"/>
      <c r="M111" s="409"/>
      <c r="N111" s="43"/>
      <c r="O111" s="181"/>
      <c r="P111" s="181"/>
      <c r="Q111" s="181"/>
      <c r="R111" s="181"/>
      <c r="AK111" s="290"/>
      <c r="AL111" s="34"/>
      <c r="AN111" s="35"/>
      <c r="AO111" s="291"/>
    </row>
    <row r="112" spans="2:66" s="198" customFormat="1" x14ac:dyDescent="0.25">
      <c r="B112" s="519" t="s">
        <v>397</v>
      </c>
      <c r="C112" s="521">
        <v>7.0000000000000007E-2</v>
      </c>
      <c r="D112" s="63"/>
      <c r="E112" s="64"/>
      <c r="J112" s="501"/>
      <c r="K112" s="52"/>
      <c r="L112" s="409"/>
      <c r="M112" s="409"/>
      <c r="N112" s="43"/>
      <c r="O112" s="181"/>
      <c r="P112" s="181"/>
      <c r="Q112" s="181"/>
      <c r="R112" s="181"/>
      <c r="AK112" s="290"/>
      <c r="AL112" s="34"/>
      <c r="AN112" s="35"/>
      <c r="AO112" s="291"/>
    </row>
    <row r="113" spans="2:65" s="198" customFormat="1" x14ac:dyDescent="0.25">
      <c r="B113" s="516"/>
      <c r="C113" s="517"/>
      <c r="D113" s="518"/>
      <c r="E113" s="293"/>
      <c r="J113" s="501"/>
      <c r="K113" s="52"/>
      <c r="L113" s="409"/>
      <c r="M113" s="409"/>
      <c r="N113" s="43"/>
      <c r="O113" s="181"/>
      <c r="P113" s="181"/>
      <c r="Q113" s="181"/>
      <c r="R113" s="181"/>
      <c r="AK113" s="290"/>
      <c r="AL113" s="34"/>
      <c r="AN113" s="35"/>
      <c r="AO113" s="291"/>
    </row>
    <row r="114" spans="2:65" s="198" customFormat="1" x14ac:dyDescent="0.25">
      <c r="J114" s="51"/>
      <c r="K114" s="52"/>
      <c r="L114" s="409"/>
      <c r="M114" s="409"/>
      <c r="N114" s="43"/>
      <c r="O114" s="181"/>
      <c r="P114" s="181"/>
      <c r="Q114" s="181"/>
      <c r="R114" s="181"/>
      <c r="AK114" s="290"/>
      <c r="AL114" s="34"/>
      <c r="AN114" s="35"/>
      <c r="AO114" s="291"/>
    </row>
    <row r="115" spans="2:65" s="198" customFormat="1" x14ac:dyDescent="0.25">
      <c r="B115" s="837" t="s">
        <v>218</v>
      </c>
      <c r="C115" s="837"/>
      <c r="D115" s="837"/>
      <c r="E115" s="837"/>
      <c r="F115" s="837"/>
      <c r="G115" s="837"/>
      <c r="H115" s="837"/>
      <c r="I115" s="837"/>
      <c r="J115" s="837"/>
      <c r="K115" s="52"/>
      <c r="L115" s="409"/>
      <c r="M115" s="409"/>
      <c r="N115" s="43"/>
      <c r="O115" s="181"/>
      <c r="P115" s="181"/>
      <c r="Q115" s="181"/>
      <c r="R115" s="181"/>
      <c r="AK115" s="290"/>
      <c r="AL115" s="34"/>
      <c r="AN115" s="35"/>
      <c r="AO115" s="291"/>
    </row>
    <row r="116" spans="2:65" s="198" customFormat="1" x14ac:dyDescent="0.25">
      <c r="B116" s="311"/>
      <c r="C116" s="311"/>
      <c r="D116" s="311"/>
      <c r="E116" s="311"/>
      <c r="F116" s="311"/>
      <c r="G116" s="311"/>
      <c r="H116" s="311"/>
      <c r="I116" s="311"/>
      <c r="J116" s="311"/>
      <c r="K116" s="52"/>
      <c r="L116" s="409"/>
      <c r="M116" s="409"/>
      <c r="N116" s="43"/>
      <c r="O116" s="181"/>
      <c r="P116" s="181"/>
      <c r="Q116" s="181"/>
      <c r="R116" s="181"/>
      <c r="AK116" s="290"/>
      <c r="AL116" s="34"/>
      <c r="AN116" s="35"/>
      <c r="AO116" s="291"/>
    </row>
    <row r="117" spans="2:65" s="198" customFormat="1" ht="14.25" customHeight="1" x14ac:dyDescent="0.25">
      <c r="B117" s="509"/>
      <c r="C117" s="510"/>
      <c r="D117" s="510" t="s">
        <v>121</v>
      </c>
      <c r="E117" s="510" t="s">
        <v>219</v>
      </c>
      <c r="F117" s="510">
        <f>'Detailed Feasibility'!$D$50/'Detailed Feasibility'!$D$50</f>
        <v>1</v>
      </c>
      <c r="G117" s="510">
        <f>IF(F117&lt;'Detailed Feasibility'!$D$50,F117+1,"")</f>
        <v>2</v>
      </c>
      <c r="H117" s="510">
        <f>IF(G117&lt;'Detailed Feasibility'!$D$50,G117+1,"")</f>
        <v>3</v>
      </c>
      <c r="I117" s="510">
        <f>IF(H117&lt;'Detailed Feasibility'!$D$50,H117+1,"")</f>
        <v>4</v>
      </c>
      <c r="J117" s="510">
        <f>IF(I117&lt;'Detailed Feasibility'!$D$50,I117+1,"")</f>
        <v>5</v>
      </c>
      <c r="K117" s="510">
        <f>IF(J117&lt;'Detailed Feasibility'!$D$50,J117+1,"")</f>
        <v>6</v>
      </c>
      <c r="L117" s="510">
        <f>IF(K117&lt;'Detailed Feasibility'!$D$50,K117+1,"")</f>
        <v>7</v>
      </c>
      <c r="M117" s="510">
        <f>IF(L117&lt;'Detailed Feasibility'!$D$50,L117+1,"")</f>
        <v>8</v>
      </c>
      <c r="N117" s="510">
        <f>IF(M117&lt;'Detailed Feasibility'!$D$50,M117+1,"")</f>
        <v>9</v>
      </c>
      <c r="O117" s="510">
        <f>IF(N117&lt;'Detailed Feasibility'!$D$50,N117+1,"")</f>
        <v>10</v>
      </c>
      <c r="P117" s="510">
        <f>IF(O117&lt;'Detailed Feasibility'!$D$50,O117+1,"")</f>
        <v>11</v>
      </c>
      <c r="Q117" s="510">
        <f>IF(P117&lt;'Detailed Feasibility'!$D$50,P117+1,"")</f>
        <v>12</v>
      </c>
      <c r="R117" s="510">
        <f>IF(Q117&lt;'Detailed Feasibility'!$D$50,Q117+1,"")</f>
        <v>13</v>
      </c>
      <c r="S117" s="510">
        <f>IF(R117&lt;'Detailed Feasibility'!$D$50,R117+1,"")</f>
        <v>14</v>
      </c>
      <c r="T117" s="510">
        <f>IF(S117&lt;'Detailed Feasibility'!$D$50,S117+1,"")</f>
        <v>15</v>
      </c>
      <c r="U117" s="510">
        <f>IF(T117&lt;'Detailed Feasibility'!$D$50,T117+1,"")</f>
        <v>16</v>
      </c>
      <c r="V117" s="510">
        <f>IF(U117&lt;'Detailed Feasibility'!$D$50,U117+1,"")</f>
        <v>17</v>
      </c>
      <c r="W117" s="510">
        <f>IF(V117&lt;'Detailed Feasibility'!$D$50,V117+1,"")</f>
        <v>18</v>
      </c>
      <c r="X117" s="510">
        <f>IF(W117&lt;'Detailed Feasibility'!$D$50,W117+1,"")</f>
        <v>19</v>
      </c>
      <c r="Y117" s="510">
        <f>IF(X117&lt;'Detailed Feasibility'!$D$50,X117+1,"")</f>
        <v>20</v>
      </c>
      <c r="Z117" s="510">
        <f>IF(Y117&lt;'Detailed Feasibility'!$D$50,Y117+1,"")</f>
        <v>21</v>
      </c>
      <c r="AA117" s="510">
        <f>IF(Z117&lt;'Detailed Feasibility'!$D$50,Z117+1,"")</f>
        <v>22</v>
      </c>
      <c r="AB117" s="510">
        <f>IF(AA117&lt;'Detailed Feasibility'!$D$50,AA117+1,"")</f>
        <v>23</v>
      </c>
      <c r="AC117" s="510">
        <f>IF(AB117&lt;'Detailed Feasibility'!$D$50,AB117+1,"")</f>
        <v>24</v>
      </c>
      <c r="AD117" s="510">
        <f>IF(AC117&lt;'Detailed Feasibility'!$D$50,AC117+1,"")</f>
        <v>25</v>
      </c>
      <c r="AE117" s="510">
        <f>IF(AD117&lt;'Detailed Feasibility'!$D$50,AD117+1,"")</f>
        <v>26</v>
      </c>
      <c r="AF117" s="510" t="str">
        <f>IF(AE117&lt;'Detailed Feasibility'!$D$50,AE117+1,"")</f>
        <v/>
      </c>
      <c r="AG117" s="510" t="str">
        <f>IF(AF117&lt;'Detailed Feasibility'!$D$50,AF117+1,"")</f>
        <v/>
      </c>
      <c r="AH117" s="510" t="str">
        <f>IF(AG117&lt;'Detailed Feasibility'!$D$50,AG117+1,"")</f>
        <v/>
      </c>
      <c r="AI117" s="510" t="str">
        <f>IF(AH117&lt;'Detailed Feasibility'!$D$50,AH117+1,"")</f>
        <v/>
      </c>
      <c r="AJ117" s="510" t="str">
        <f>IF(AI117&lt;'Detailed Feasibility'!$D$50,AI117+1,"")</f>
        <v/>
      </c>
      <c r="AK117" s="510" t="str">
        <f>IF(AJ117&lt;'Detailed Feasibility'!$D$50,AJ117+1,"")</f>
        <v/>
      </c>
      <c r="AL117" s="510" t="str">
        <f>IF(AK117&lt;'Detailed Feasibility'!$D$50,AK117+1,"")</f>
        <v/>
      </c>
      <c r="AM117" s="510" t="str">
        <f>IF(AL117&lt;'Detailed Feasibility'!$D$50,AL117+1,"")</f>
        <v/>
      </c>
      <c r="AN117" s="510" t="str">
        <f>IF(AM117&lt;'Detailed Feasibility'!$D$50,AM117+1,"")</f>
        <v/>
      </c>
      <c r="AO117" s="510" t="str">
        <f>IF(AN117&lt;'Detailed Feasibility'!$D$50,AN117+1,"")</f>
        <v/>
      </c>
      <c r="AP117" s="510" t="str">
        <f>IF(AO117&lt;'Detailed Feasibility'!$D$50,AO117+1,"")</f>
        <v/>
      </c>
      <c r="AQ117" s="510" t="str">
        <f>IF(AP117&lt;'Detailed Feasibility'!$D$50,AP117+1,"")</f>
        <v/>
      </c>
      <c r="AR117" s="510" t="str">
        <f>IF(AQ117&lt;'Detailed Feasibility'!$D$50,AQ117+1,"")</f>
        <v/>
      </c>
      <c r="AS117" s="510" t="str">
        <f>IF(AR117&lt;'Detailed Feasibility'!$D$50,AR117+1,"")</f>
        <v/>
      </c>
      <c r="AT117" s="510" t="str">
        <f>IF(AS117&lt;'Detailed Feasibility'!$D$50,AS117+1,"")</f>
        <v/>
      </c>
      <c r="AU117" s="510" t="str">
        <f>IF(AT117&lt;'Detailed Feasibility'!$D$50,AT117+1,"")</f>
        <v/>
      </c>
      <c r="AV117" s="510" t="str">
        <f>IF(AU117&lt;'Detailed Feasibility'!$D$50,AU117+1,"")</f>
        <v/>
      </c>
      <c r="AW117" s="510" t="str">
        <f>IF(AV117&lt;'Detailed Feasibility'!$D$50,AV117+1,"")</f>
        <v/>
      </c>
      <c r="AX117" s="510" t="str">
        <f>IF(AW117&lt;'Detailed Feasibility'!$D$50,AW117+1,"")</f>
        <v/>
      </c>
      <c r="AY117" s="510" t="str">
        <f>IF(AX117&lt;'Detailed Feasibility'!$D$50,AX117+1,"")</f>
        <v/>
      </c>
      <c r="AZ117" s="510" t="str">
        <f>IF(AY117&lt;'Detailed Feasibility'!$D$50,AY117+1,"")</f>
        <v/>
      </c>
      <c r="BA117" s="510" t="str">
        <f>IF(AZ117&lt;'Detailed Feasibility'!$D$50,AZ117+1,"")</f>
        <v/>
      </c>
      <c r="BB117" s="510" t="str">
        <f>IF(BA117&lt;'Detailed Feasibility'!$D$50,BA117+1,"")</f>
        <v/>
      </c>
      <c r="BC117" s="510" t="str">
        <f>IF(BB117&lt;'Detailed Feasibility'!$D$50,BB117+1,"")</f>
        <v/>
      </c>
      <c r="BD117" s="510" t="str">
        <f>IF(BC117&lt;'Detailed Feasibility'!$D$50,BC117+1,"")</f>
        <v/>
      </c>
      <c r="BE117" s="510" t="str">
        <f>IF(BD117&lt;'Detailed Feasibility'!$D$50,BD117+1,"")</f>
        <v/>
      </c>
      <c r="BF117" s="510" t="str">
        <f>IF(BE117&lt;'Detailed Feasibility'!$D$50,BE117+1,"")</f>
        <v/>
      </c>
      <c r="BG117" s="510" t="str">
        <f>IF(BF117&lt;'Detailed Feasibility'!$D$50,BF117+1,"")</f>
        <v/>
      </c>
      <c r="BH117" s="510" t="str">
        <f>IF(BG117&lt;'Detailed Feasibility'!$D$50,BG117+1,"")</f>
        <v/>
      </c>
      <c r="BI117" s="510" t="str">
        <f>IF(BH117&lt;'Detailed Feasibility'!$D$50,BH117+1,"")</f>
        <v/>
      </c>
      <c r="BJ117" s="510" t="str">
        <f>IF(BI117&lt;'Detailed Feasibility'!$D$50,BI117+1,"")</f>
        <v/>
      </c>
      <c r="BK117" s="510" t="str">
        <f>IF(BJ117&lt;'Detailed Feasibility'!$D$50,BJ117+1,"")</f>
        <v/>
      </c>
      <c r="BL117" s="510" t="str">
        <f>IF(BK117&lt;'Detailed Feasibility'!$D$50,BK117+1,"")</f>
        <v/>
      </c>
      <c r="BM117" s="511" t="str">
        <f>IF(BL117&lt;'Detailed Feasibility'!$D$50,BL117+1,"")</f>
        <v/>
      </c>
    </row>
    <row r="118" spans="2:65" s="198" customFormat="1" ht="14.25" customHeight="1" x14ac:dyDescent="0.25">
      <c r="B118" s="513" t="s">
        <v>60</v>
      </c>
      <c r="C118" s="730"/>
      <c r="D118" s="730"/>
      <c r="E118" s="730"/>
      <c r="F118" s="730"/>
      <c r="G118" s="730"/>
      <c r="H118" s="730"/>
      <c r="I118" s="730"/>
      <c r="J118" s="730"/>
      <c r="K118" s="730"/>
      <c r="L118" s="730"/>
      <c r="M118" s="730"/>
      <c r="N118" s="730"/>
      <c r="O118" s="730"/>
      <c r="P118" s="730"/>
      <c r="Q118" s="730"/>
      <c r="R118" s="730"/>
      <c r="S118" s="730"/>
      <c r="T118" s="730"/>
      <c r="U118" s="730"/>
      <c r="V118" s="730"/>
      <c r="W118" s="730"/>
      <c r="X118" s="730"/>
      <c r="Y118" s="730"/>
      <c r="Z118" s="730"/>
      <c r="AA118" s="730"/>
      <c r="AB118" s="730"/>
      <c r="AC118" s="730"/>
      <c r="AD118" s="730"/>
      <c r="AE118" s="730"/>
      <c r="AF118" s="730"/>
      <c r="AG118" s="730"/>
      <c r="AH118" s="730"/>
      <c r="AI118" s="730"/>
      <c r="AJ118" s="730"/>
      <c r="AK118" s="730"/>
      <c r="AL118" s="730"/>
      <c r="AM118" s="730"/>
      <c r="AN118" s="730"/>
      <c r="AO118" s="730"/>
      <c r="AP118" s="730"/>
      <c r="AQ118" s="730"/>
      <c r="AR118" s="730"/>
      <c r="AS118" s="730"/>
      <c r="AT118" s="730"/>
      <c r="AU118" s="730"/>
      <c r="AV118" s="730"/>
      <c r="AW118" s="730"/>
      <c r="AX118" s="730"/>
      <c r="AY118" s="730"/>
      <c r="AZ118" s="730"/>
      <c r="BA118" s="730"/>
      <c r="BB118" s="730"/>
      <c r="BC118" s="730"/>
      <c r="BD118" s="730"/>
      <c r="BE118" s="730"/>
      <c r="BF118" s="730"/>
      <c r="BG118" s="730"/>
      <c r="BH118" s="730"/>
      <c r="BI118" s="730"/>
      <c r="BJ118" s="730"/>
      <c r="BK118" s="730"/>
      <c r="BL118" s="730"/>
      <c r="BM118" s="17"/>
    </row>
    <row r="119" spans="2:65" s="198" customFormat="1" ht="14.25" customHeight="1" x14ac:dyDescent="0.25">
      <c r="B119" s="512" t="s">
        <v>395</v>
      </c>
      <c r="C119" s="728"/>
      <c r="D119" s="728"/>
      <c r="E119" s="728"/>
      <c r="F119" s="728"/>
      <c r="G119" s="728"/>
      <c r="H119" s="728"/>
      <c r="I119" s="728"/>
      <c r="J119" s="728"/>
      <c r="K119" s="728"/>
      <c r="L119" s="728"/>
      <c r="M119" s="728"/>
      <c r="N119" s="728"/>
      <c r="O119" s="728"/>
      <c r="P119" s="728"/>
      <c r="Q119" s="728"/>
      <c r="R119" s="728"/>
      <c r="S119" s="728"/>
      <c r="T119" s="728"/>
      <c r="U119" s="728"/>
      <c r="V119" s="728"/>
      <c r="W119" s="728"/>
      <c r="X119" s="728"/>
      <c r="Y119" s="728"/>
      <c r="Z119" s="728"/>
      <c r="AA119" s="728"/>
      <c r="AB119" s="728"/>
      <c r="AC119" s="728"/>
      <c r="AD119" s="728"/>
      <c r="AE119" s="728"/>
      <c r="AF119" s="728"/>
      <c r="AG119" s="728"/>
      <c r="AH119" s="728"/>
      <c r="AI119" s="728"/>
      <c r="AJ119" s="728"/>
      <c r="AK119" s="728"/>
      <c r="AL119" s="728"/>
      <c r="AM119" s="728"/>
      <c r="AN119" s="728"/>
      <c r="AO119" s="728"/>
      <c r="AP119" s="728"/>
      <c r="AQ119" s="728"/>
      <c r="AR119" s="728"/>
      <c r="AS119" s="728"/>
      <c r="AT119" s="728"/>
      <c r="AU119" s="728"/>
      <c r="AV119" s="728"/>
      <c r="AW119" s="728"/>
      <c r="AX119" s="728"/>
      <c r="AY119" s="728"/>
      <c r="AZ119" s="728"/>
      <c r="BA119" s="728"/>
      <c r="BB119" s="728"/>
      <c r="BC119" s="728"/>
      <c r="BD119" s="728"/>
      <c r="BE119" s="728"/>
      <c r="BF119" s="728"/>
      <c r="BG119" s="728"/>
      <c r="BH119" s="728"/>
      <c r="BI119" s="728"/>
      <c r="BJ119" s="728"/>
      <c r="BK119" s="728"/>
      <c r="BL119" s="728"/>
      <c r="BM119" s="729"/>
    </row>
    <row r="120" spans="2:65" s="198" customFormat="1" x14ac:dyDescent="0.25">
      <c r="B120" s="261" t="s">
        <v>225</v>
      </c>
      <c r="C120" s="209" t="str">
        <f>G91</f>
        <v xml:space="preserve">Acquisition Contract </v>
      </c>
      <c r="D120" s="212">
        <f>G100</f>
        <v>926932.49999999988</v>
      </c>
      <c r="E120" s="731">
        <f>IF(SUM(F120:BM120)=D120,1,0)</f>
        <v>1</v>
      </c>
      <c r="F120" s="259">
        <f>IF(F117='Detailed Feasibility'!$C$55,'Detailed Feasibility'!$G$100,0)</f>
        <v>926932.49999999988</v>
      </c>
      <c r="G120" s="259">
        <f>IF(G117="","",IF(G117='Detailed Feasibility'!$C$55,'Detailed Feasibility'!$G$100,0))</f>
        <v>0</v>
      </c>
      <c r="H120" s="259">
        <f>IF(H117="","",IF(H117='Detailed Feasibility'!$C$55,'Detailed Feasibility'!$G$100,0))</f>
        <v>0</v>
      </c>
      <c r="I120" s="259">
        <f>IF(I117="","",IF(I117='Detailed Feasibility'!$C$55,'Detailed Feasibility'!$G$100,0))</f>
        <v>0</v>
      </c>
      <c r="J120" s="259">
        <f>IF(J117="","",IF(J117='Detailed Feasibility'!$C$55,'Detailed Feasibility'!$G$100,0))</f>
        <v>0</v>
      </c>
      <c r="K120" s="259">
        <f>IF(K117="","",IF(K117='Detailed Feasibility'!$C$55,'Detailed Feasibility'!$G$100,0))</f>
        <v>0</v>
      </c>
      <c r="L120" s="259">
        <f>IF(L117="","",IF(L117='Detailed Feasibility'!$C$55,'Detailed Feasibility'!$G$100,0))</f>
        <v>0</v>
      </c>
      <c r="M120" s="259">
        <f>IF(M117="","",IF(M117='Detailed Feasibility'!$C$55,'Detailed Feasibility'!$G$100,0))</f>
        <v>0</v>
      </c>
      <c r="N120" s="259">
        <f>IF(N117="","",IF(N117='Detailed Feasibility'!$C$55,'Detailed Feasibility'!$G$100,0))</f>
        <v>0</v>
      </c>
      <c r="O120" s="259">
        <f>IF(O117="","",IF(O117='Detailed Feasibility'!$C$55,'Detailed Feasibility'!$G$100,0))</f>
        <v>0</v>
      </c>
      <c r="P120" s="259">
        <f>IF(P117="","",IF(P117='Detailed Feasibility'!$C$55,'Detailed Feasibility'!$G$100,0))</f>
        <v>0</v>
      </c>
      <c r="Q120" s="259">
        <f>IF(Q117="","",IF(Q117='Detailed Feasibility'!$C$55,'Detailed Feasibility'!$G$100,0))</f>
        <v>0</v>
      </c>
      <c r="R120" s="259">
        <f>IF(R117="","",IF(R117='Detailed Feasibility'!$C$55,'Detailed Feasibility'!$G$100,0))</f>
        <v>0</v>
      </c>
      <c r="S120" s="259">
        <f>IF(S117="","",IF(S117='Detailed Feasibility'!$C$55,'Detailed Feasibility'!$G$100,0))</f>
        <v>0</v>
      </c>
      <c r="T120" s="259">
        <f>IF(T117="","",IF(T117='Detailed Feasibility'!$C$55,'Detailed Feasibility'!$G$100,0))</f>
        <v>0</v>
      </c>
      <c r="U120" s="259">
        <f>IF(U117="","",IF(U117='Detailed Feasibility'!$C$55,'Detailed Feasibility'!$G$100,0))</f>
        <v>0</v>
      </c>
      <c r="V120" s="259">
        <f>IF(V117="","",IF(V117='Detailed Feasibility'!$C$55,'Detailed Feasibility'!$G$100,0))</f>
        <v>0</v>
      </c>
      <c r="W120" s="259">
        <f>IF(W117="","",IF(W117='Detailed Feasibility'!$C$55,'Detailed Feasibility'!$G$100,0))</f>
        <v>0</v>
      </c>
      <c r="X120" s="259">
        <f>IF(X117="","",IF(X117='Detailed Feasibility'!$C$55,'Detailed Feasibility'!$G$100,0))</f>
        <v>0</v>
      </c>
      <c r="Y120" s="259">
        <f>IF(Y117="","",IF(Y117='Detailed Feasibility'!$C$55,'Detailed Feasibility'!$G$100,0))</f>
        <v>0</v>
      </c>
      <c r="Z120" s="259">
        <f>IF(Z117="","",IF(Z117='Detailed Feasibility'!$C$55,'Detailed Feasibility'!$G$100,0))</f>
        <v>0</v>
      </c>
      <c r="AA120" s="259">
        <f>IF(AA117="","",IF(AA117='Detailed Feasibility'!$C$55,'Detailed Feasibility'!$G$100,0))</f>
        <v>0</v>
      </c>
      <c r="AB120" s="259">
        <f>IF(AB117="","",IF(AB117='Detailed Feasibility'!$C$55,'Detailed Feasibility'!$G$100,0))</f>
        <v>0</v>
      </c>
      <c r="AC120" s="259">
        <f>IF(AC117="","",IF(AC117='Detailed Feasibility'!$C$55,'Detailed Feasibility'!$G$100,0))</f>
        <v>0</v>
      </c>
      <c r="AD120" s="259">
        <f>IF(AD117="","",IF(AD117='Detailed Feasibility'!$C$55,'Detailed Feasibility'!$G$100,0))</f>
        <v>0</v>
      </c>
      <c r="AE120" s="259">
        <f>IF(AE117="","",IF(AE117='Detailed Feasibility'!$C$55,'Detailed Feasibility'!$G$100,0))</f>
        <v>0</v>
      </c>
      <c r="AF120" s="259" t="str">
        <f>IF(AF117="","",IF(AF117='Detailed Feasibility'!$C$55,'Detailed Feasibility'!$G$100,0))</f>
        <v/>
      </c>
      <c r="AG120" s="259" t="str">
        <f>IF(AG117="","",IF(AG117='Detailed Feasibility'!$C$55,'Detailed Feasibility'!$G$100,0))</f>
        <v/>
      </c>
      <c r="AH120" s="259" t="str">
        <f>IF(AH117="","",IF(AH117='Detailed Feasibility'!$C$55,'Detailed Feasibility'!$G$100,0))</f>
        <v/>
      </c>
      <c r="AI120" s="259" t="str">
        <f>IF(AI117="","",IF(AI117='Detailed Feasibility'!$C$55,'Detailed Feasibility'!$G$100,0))</f>
        <v/>
      </c>
      <c r="AJ120" s="259" t="str">
        <f>IF(AJ117="","",IF(AJ117='Detailed Feasibility'!$C$55,'Detailed Feasibility'!$G$100,0))</f>
        <v/>
      </c>
      <c r="AK120" s="259" t="str">
        <f>IF(AK117="","",IF(AK117='Detailed Feasibility'!$C$55,'Detailed Feasibility'!$G$100,0))</f>
        <v/>
      </c>
      <c r="AL120" s="259" t="str">
        <f>IF(AL117="","",IF(AL117='Detailed Feasibility'!$C$55,'Detailed Feasibility'!$G$100,0))</f>
        <v/>
      </c>
      <c r="AM120" s="259" t="str">
        <f>IF(AM117="","",IF(AM117='Detailed Feasibility'!$C$55,'Detailed Feasibility'!$G$100,0))</f>
        <v/>
      </c>
      <c r="AN120" s="259" t="str">
        <f>IF(AN117="","",IF(AN117='Detailed Feasibility'!$C$55,'Detailed Feasibility'!$G$100,0))</f>
        <v/>
      </c>
      <c r="AO120" s="259" t="str">
        <f>IF(AO117="","",IF(AO117='Detailed Feasibility'!$C$55,'Detailed Feasibility'!$G$100,0))</f>
        <v/>
      </c>
      <c r="AP120" s="259" t="str">
        <f>IF(AP117="","",IF(AP117='Detailed Feasibility'!$C$55,'Detailed Feasibility'!$G$100,0))</f>
        <v/>
      </c>
      <c r="AQ120" s="259" t="str">
        <f>IF(AQ117="","",IF(AQ117='Detailed Feasibility'!$C$55,'Detailed Feasibility'!$G$100,0))</f>
        <v/>
      </c>
      <c r="AR120" s="259" t="str">
        <f>IF(AR117="","",IF(AR117='Detailed Feasibility'!$C$55,'Detailed Feasibility'!$G$100,0))</f>
        <v/>
      </c>
      <c r="AS120" s="259" t="str">
        <f>IF(AS117="","",IF(AS117='Detailed Feasibility'!$C$55,'Detailed Feasibility'!$G$100,0))</f>
        <v/>
      </c>
      <c r="AT120" s="259" t="str">
        <f>IF(AT117="","",IF(AT117='Detailed Feasibility'!$C$55,'Detailed Feasibility'!$G$100,0))</f>
        <v/>
      </c>
      <c r="AU120" s="259" t="str">
        <f>IF(AU117="","",IF(AU117='Detailed Feasibility'!$C$55,'Detailed Feasibility'!$G$100,0))</f>
        <v/>
      </c>
      <c r="AV120" s="259" t="str">
        <f>IF(AV117="","",IF(AV117='Detailed Feasibility'!$C$55,'Detailed Feasibility'!$G$100,0))</f>
        <v/>
      </c>
      <c r="AW120" s="259" t="str">
        <f>IF(AW117="","",IF(AW117='Detailed Feasibility'!$C$55,'Detailed Feasibility'!$G$100,0))</f>
        <v/>
      </c>
      <c r="AX120" s="259" t="str">
        <f>IF(AX117="","",IF(AX117='Detailed Feasibility'!$C$55,'Detailed Feasibility'!$G$100,0))</f>
        <v/>
      </c>
      <c r="AY120" s="259" t="str">
        <f>IF(AY117="","",IF(AY117='Detailed Feasibility'!$C$55,'Detailed Feasibility'!$G$100,0))</f>
        <v/>
      </c>
      <c r="AZ120" s="259" t="str">
        <f>IF(AZ117="","",IF(AZ117='Detailed Feasibility'!$C$55,'Detailed Feasibility'!$G$100,0))</f>
        <v/>
      </c>
      <c r="BA120" s="259" t="str">
        <f>IF(BA117="","",IF(BA117='Detailed Feasibility'!$C$55,'Detailed Feasibility'!$G$100,0))</f>
        <v/>
      </c>
      <c r="BB120" s="259" t="str">
        <f>IF(BB117="","",IF(BB117='Detailed Feasibility'!$C$55,'Detailed Feasibility'!$G$100,0))</f>
        <v/>
      </c>
      <c r="BC120" s="259" t="str">
        <f>IF(BC117="","",IF(BC117='Detailed Feasibility'!$C$55,'Detailed Feasibility'!$G$100,0))</f>
        <v/>
      </c>
      <c r="BD120" s="259" t="str">
        <f>IF(BD117="","",IF(BD117='Detailed Feasibility'!$C$55,'Detailed Feasibility'!$G$100,0))</f>
        <v/>
      </c>
      <c r="BE120" s="259" t="str">
        <f>IF(BE117="","",IF(BE117='Detailed Feasibility'!$C$55,'Detailed Feasibility'!$G$100,0))</f>
        <v/>
      </c>
      <c r="BF120" s="259" t="str">
        <f>IF(BF117="","",IF(BF117='Detailed Feasibility'!$C$55,'Detailed Feasibility'!$G$100,0))</f>
        <v/>
      </c>
      <c r="BG120" s="259" t="str">
        <f>IF(BG117="","",IF(BG117='Detailed Feasibility'!$C$55,'Detailed Feasibility'!$G$100,0))</f>
        <v/>
      </c>
      <c r="BH120" s="259" t="str">
        <f>IF(BH117="","",IF(BH117='Detailed Feasibility'!$C$55,'Detailed Feasibility'!$G$100,0))</f>
        <v/>
      </c>
      <c r="BI120" s="259" t="str">
        <f>IF(BI117="","",IF(BI117='Detailed Feasibility'!$C$55,'Detailed Feasibility'!$G$100,0))</f>
        <v/>
      </c>
      <c r="BJ120" s="259" t="str">
        <f>IF(BJ117="","",IF(BJ117='Detailed Feasibility'!$C$55,'Detailed Feasibility'!$G$100,0))</f>
        <v/>
      </c>
      <c r="BK120" s="259" t="str">
        <f>IF(BK117="","",IF(BK117='Detailed Feasibility'!$C$55,'Detailed Feasibility'!$G$100,0))</f>
        <v/>
      </c>
      <c r="BL120" s="259" t="str">
        <f>IF(BL117="","",IF(BL117='Detailed Feasibility'!$C$55,'Detailed Feasibility'!$G$100,0))</f>
        <v/>
      </c>
      <c r="BM120" s="260" t="str">
        <f>IF(BM117="","",IF(BM117='Detailed Feasibility'!$C$55,'Detailed Feasibility'!$G$100,0))</f>
        <v/>
      </c>
    </row>
    <row r="121" spans="2:65" s="198" customFormat="1" x14ac:dyDescent="0.25">
      <c r="B121" s="261"/>
      <c r="C121" s="209" t="str">
        <f>H91</f>
        <v xml:space="preserve">Physical Site Works </v>
      </c>
      <c r="D121" s="212">
        <f>H100</f>
        <v>0</v>
      </c>
      <c r="E121" s="731">
        <f>IF(SUM(F121:BM121)=D121,1,0)</f>
        <v>1</v>
      </c>
      <c r="F121" s="259">
        <f>IF(AND(F117&gt;='Detailed Feasibility'!$C$56,F117&lt;'Detailed Feasibility'!$D$56),($H$100/('Detailed Feasibility'!$D$56-'Detailed Feasibility'!$C$56)),0)</f>
        <v>0</v>
      </c>
      <c r="G121" s="259">
        <f>IF(G117="","",IF(AND(G117&gt;='Detailed Feasibility'!$C$56,G117&lt;'Detailed Feasibility'!$D$56),($H$100/('Detailed Feasibility'!$D$56-'Detailed Feasibility'!$C$56)),0))</f>
        <v>0</v>
      </c>
      <c r="H121" s="259">
        <f>IF(H117="","",IF(AND(H117&gt;='Detailed Feasibility'!$C$56,H117&lt;'Detailed Feasibility'!$D$56),($H$100/('Detailed Feasibility'!$D$56-'Detailed Feasibility'!$C$56)),0))</f>
        <v>0</v>
      </c>
      <c r="I121" s="259">
        <f>IF(I117="","",IF(AND(I117&gt;='Detailed Feasibility'!$C$56,I117&lt;'Detailed Feasibility'!$D$56),($H$100/('Detailed Feasibility'!$D$56-'Detailed Feasibility'!$C$56)),0))</f>
        <v>0</v>
      </c>
      <c r="J121" s="259">
        <f>IF(J117="","",IF(AND(J117&gt;='Detailed Feasibility'!$C$56,J117&lt;'Detailed Feasibility'!$D$56),($H$100/('Detailed Feasibility'!$D$56-'Detailed Feasibility'!$C$56)),0))</f>
        <v>0</v>
      </c>
      <c r="K121" s="259">
        <f>IF(K117="","",IF(AND(K117&gt;='Detailed Feasibility'!$C$56,K117&lt;'Detailed Feasibility'!$D$56),($H$100/('Detailed Feasibility'!$D$56-'Detailed Feasibility'!$C$56)),0))</f>
        <v>0</v>
      </c>
      <c r="L121" s="259">
        <f>IF(L117="","",IF(AND(L117&gt;='Detailed Feasibility'!$C$56,L117&lt;'Detailed Feasibility'!$D$56),($H$100/('Detailed Feasibility'!$D$56-'Detailed Feasibility'!$C$56)),0))</f>
        <v>0</v>
      </c>
      <c r="M121" s="259">
        <f>IF(M117="","",IF(AND(M117&gt;='Detailed Feasibility'!$C$56,M117&lt;'Detailed Feasibility'!$D$56),($H$100/('Detailed Feasibility'!$D$56-'Detailed Feasibility'!$C$56)),0))</f>
        <v>0</v>
      </c>
      <c r="N121" s="259">
        <f>IF(N117="","",IF(AND(N117&gt;='Detailed Feasibility'!$C$56,N117&lt;'Detailed Feasibility'!$D$56),($H$100/('Detailed Feasibility'!$D$56-'Detailed Feasibility'!$C$56)),0))</f>
        <v>0</v>
      </c>
      <c r="O121" s="259">
        <f>IF(O117="","",IF(AND(O117&gt;='Detailed Feasibility'!$C$56,O117&lt;'Detailed Feasibility'!$D$56),($H$100/('Detailed Feasibility'!$D$56-'Detailed Feasibility'!$C$56)),0))</f>
        <v>0</v>
      </c>
      <c r="P121" s="259">
        <f>IF(P117="","",IF(AND(P117&gt;='Detailed Feasibility'!$C$56,P117&lt;'Detailed Feasibility'!$D$56),($H$100/('Detailed Feasibility'!$D$56-'Detailed Feasibility'!$C$56)),0))</f>
        <v>0</v>
      </c>
      <c r="Q121" s="259">
        <f>IF(Q117="","",IF(AND(Q117&gt;='Detailed Feasibility'!$C$56,Q117&lt;'Detailed Feasibility'!$D$56),($H$100/('Detailed Feasibility'!$D$56-'Detailed Feasibility'!$C$56)),0))</f>
        <v>0</v>
      </c>
      <c r="R121" s="259">
        <f>IF(R117="","",IF(AND(R117&gt;='Detailed Feasibility'!$C$56,R117&lt;'Detailed Feasibility'!$D$56),($H$100/('Detailed Feasibility'!$D$56-'Detailed Feasibility'!$C$56)),0))</f>
        <v>0</v>
      </c>
      <c r="S121" s="259">
        <f>IF(S117="","",IF(AND(S117&gt;='Detailed Feasibility'!$C$56,S117&lt;'Detailed Feasibility'!$D$56),($H$100/('Detailed Feasibility'!$D$56-'Detailed Feasibility'!$C$56)),0))</f>
        <v>0</v>
      </c>
      <c r="T121" s="259">
        <f>IF(T117="","",IF(AND(T117&gt;='Detailed Feasibility'!$C$56,T117&lt;'Detailed Feasibility'!$D$56),($H$100/('Detailed Feasibility'!$D$56-'Detailed Feasibility'!$C$56)),0))</f>
        <v>0</v>
      </c>
      <c r="U121" s="259">
        <f>IF(U117="","",IF(AND(U117&gt;='Detailed Feasibility'!$C$56,U117&lt;'Detailed Feasibility'!$D$56),($H$100/('Detailed Feasibility'!$D$56-'Detailed Feasibility'!$C$56)),0))</f>
        <v>0</v>
      </c>
      <c r="V121" s="259">
        <f>IF(V117="","",IF(AND(V117&gt;='Detailed Feasibility'!$C$56,V117&lt;'Detailed Feasibility'!$D$56),($H$100/('Detailed Feasibility'!$D$56-'Detailed Feasibility'!$C$56)),0))</f>
        <v>0</v>
      </c>
      <c r="W121" s="259">
        <f>IF(W117="","",IF(AND(W117&gt;='Detailed Feasibility'!$C$56,W117&lt;'Detailed Feasibility'!$D$56),($H$100/('Detailed Feasibility'!$D$56-'Detailed Feasibility'!$C$56)),0))</f>
        <v>0</v>
      </c>
      <c r="X121" s="259">
        <f>IF(X117="","",IF(AND(X117&gt;='Detailed Feasibility'!$C$56,X117&lt;'Detailed Feasibility'!$D$56),($H$100/('Detailed Feasibility'!$D$56-'Detailed Feasibility'!$C$56)),0))</f>
        <v>0</v>
      </c>
      <c r="Y121" s="259">
        <f>IF(Y117="","",IF(AND(Y117&gt;='Detailed Feasibility'!$C$56,Y117&lt;'Detailed Feasibility'!$D$56),($H$100/('Detailed Feasibility'!$D$56-'Detailed Feasibility'!$C$56)),0))</f>
        <v>0</v>
      </c>
      <c r="Z121" s="259">
        <f>IF(Z117="","",IF(AND(Z117&gt;='Detailed Feasibility'!$C$56,Z117&lt;'Detailed Feasibility'!$D$56),($H$100/('Detailed Feasibility'!$D$56-'Detailed Feasibility'!$C$56)),0))</f>
        <v>0</v>
      </c>
      <c r="AA121" s="259">
        <f>IF(AA117="","",IF(AND(AA117&gt;='Detailed Feasibility'!$C$56,AA117&lt;'Detailed Feasibility'!$D$56),($H$100/('Detailed Feasibility'!$D$56-'Detailed Feasibility'!$C$56)),0))</f>
        <v>0</v>
      </c>
      <c r="AB121" s="259">
        <f>IF(AB117="","",IF(AND(AB117&gt;='Detailed Feasibility'!$C$56,AB117&lt;'Detailed Feasibility'!$D$56),($H$100/('Detailed Feasibility'!$D$56-'Detailed Feasibility'!$C$56)),0))</f>
        <v>0</v>
      </c>
      <c r="AC121" s="259">
        <f>IF(AC117="","",IF(AND(AC117&gt;='Detailed Feasibility'!$C$56,AC117&lt;'Detailed Feasibility'!$D$56),($H$100/('Detailed Feasibility'!$D$56-'Detailed Feasibility'!$C$56)),0))</f>
        <v>0</v>
      </c>
      <c r="AD121" s="259">
        <f>IF(AD117="","",IF(AND(AD117&gt;='Detailed Feasibility'!$C$56,AD117&lt;'Detailed Feasibility'!$D$56),($H$100/('Detailed Feasibility'!$D$56-'Detailed Feasibility'!$C$56)),0))</f>
        <v>0</v>
      </c>
      <c r="AE121" s="259">
        <f>IF(AE117="","",IF(AND(AE117&gt;='Detailed Feasibility'!$C$56,AE117&lt;'Detailed Feasibility'!$D$56),($H$100/('Detailed Feasibility'!$D$56-'Detailed Feasibility'!$C$56)),0))</f>
        <v>0</v>
      </c>
      <c r="AF121" s="259" t="str">
        <f>IF(AF117="","",IF(AND(AF117&gt;='Detailed Feasibility'!$C$56,AF117&lt;'Detailed Feasibility'!$D$56),($H$100/('Detailed Feasibility'!$D$56-'Detailed Feasibility'!$C$56)),0))</f>
        <v/>
      </c>
      <c r="AG121" s="259" t="str">
        <f>IF(AG117="","",IF(AND(AG117&gt;='Detailed Feasibility'!$C$56,AG117&lt;'Detailed Feasibility'!$D$56),($H$100/('Detailed Feasibility'!$D$56-'Detailed Feasibility'!$C$56)),0))</f>
        <v/>
      </c>
      <c r="AH121" s="259" t="str">
        <f>IF(AH117="","",IF(AND(AH117&gt;='Detailed Feasibility'!$C$56,AH117&lt;'Detailed Feasibility'!$D$56),($H$100/('Detailed Feasibility'!$D$56-'Detailed Feasibility'!$C$56)),0))</f>
        <v/>
      </c>
      <c r="AI121" s="259" t="str">
        <f>IF(AI117="","",IF(AND(AI117&gt;='Detailed Feasibility'!$C$56,AI117&lt;'Detailed Feasibility'!$D$56),($H$100/('Detailed Feasibility'!$D$56-'Detailed Feasibility'!$C$56)),0))</f>
        <v/>
      </c>
      <c r="AJ121" s="259" t="str">
        <f>IF(AJ117="","",IF(AND(AJ117&gt;='Detailed Feasibility'!$C$56,AJ117&lt;'Detailed Feasibility'!$D$56),($H$100/('Detailed Feasibility'!$D$56-'Detailed Feasibility'!$C$56)),0))</f>
        <v/>
      </c>
      <c r="AK121" s="259" t="str">
        <f>IF(AK117="","",IF(AND(AK117&gt;='Detailed Feasibility'!$C$56,AK117&lt;'Detailed Feasibility'!$D$56),($H$100/('Detailed Feasibility'!$D$56-'Detailed Feasibility'!$C$56)),0))</f>
        <v/>
      </c>
      <c r="AL121" s="259" t="str">
        <f>IF(AL117="","",IF(AND(AL117&gt;='Detailed Feasibility'!$C$56,AL117&lt;'Detailed Feasibility'!$D$56),($H$100/('Detailed Feasibility'!$D$56-'Detailed Feasibility'!$C$56)),0))</f>
        <v/>
      </c>
      <c r="AM121" s="259" t="str">
        <f>IF(AM117="","",IF(AND(AM117&gt;='Detailed Feasibility'!$C$56,AM117&lt;'Detailed Feasibility'!$D$56),($H$100/('Detailed Feasibility'!$D$56-'Detailed Feasibility'!$C$56)),0))</f>
        <v/>
      </c>
      <c r="AN121" s="259" t="str">
        <f>IF(AN117="","",IF(AND(AN117&gt;='Detailed Feasibility'!$C$56,AN117&lt;'Detailed Feasibility'!$D$56),($H$100/('Detailed Feasibility'!$D$56-'Detailed Feasibility'!$C$56)),0))</f>
        <v/>
      </c>
      <c r="AO121" s="259" t="str">
        <f>IF(AO117="","",IF(AND(AO117&gt;='Detailed Feasibility'!$C$56,AO117&lt;'Detailed Feasibility'!$D$56),($H$100/('Detailed Feasibility'!$D$56-'Detailed Feasibility'!$C$56)),0))</f>
        <v/>
      </c>
      <c r="AP121" s="259" t="str">
        <f>IF(AP117="","",IF(AND(AP117&gt;='Detailed Feasibility'!$C$56,AP117&lt;'Detailed Feasibility'!$D$56),($H$100/('Detailed Feasibility'!$D$56-'Detailed Feasibility'!$C$56)),0))</f>
        <v/>
      </c>
      <c r="AQ121" s="259" t="str">
        <f>IF(AQ117="","",IF(AND(AQ117&gt;='Detailed Feasibility'!$C$56,AQ117&lt;'Detailed Feasibility'!$D$56),($H$100/('Detailed Feasibility'!$D$56-'Detailed Feasibility'!$C$56)),0))</f>
        <v/>
      </c>
      <c r="AR121" s="259" t="str">
        <f>IF(AR117="","",IF(AND(AR117&gt;='Detailed Feasibility'!$C$56,AR117&lt;'Detailed Feasibility'!$D$56),($H$100/('Detailed Feasibility'!$D$56-'Detailed Feasibility'!$C$56)),0))</f>
        <v/>
      </c>
      <c r="AS121" s="259" t="str">
        <f>IF(AS117="","",IF(AND(AS117&gt;='Detailed Feasibility'!$C$56,AS117&lt;'Detailed Feasibility'!$D$56),($H$100/('Detailed Feasibility'!$D$56-'Detailed Feasibility'!$C$56)),0))</f>
        <v/>
      </c>
      <c r="AT121" s="259" t="str">
        <f>IF(AT117="","",IF(AND(AT117&gt;='Detailed Feasibility'!$C$56,AT117&lt;'Detailed Feasibility'!$D$56),($H$100/('Detailed Feasibility'!$D$56-'Detailed Feasibility'!$C$56)),0))</f>
        <v/>
      </c>
      <c r="AU121" s="259" t="str">
        <f>IF(AU117="","",IF(AND(AU117&gt;='Detailed Feasibility'!$C$56,AU117&lt;'Detailed Feasibility'!$D$56),($H$100/('Detailed Feasibility'!$D$56-'Detailed Feasibility'!$C$56)),0))</f>
        <v/>
      </c>
      <c r="AV121" s="259" t="str">
        <f>IF(AV117="","",IF(AND(AV117&gt;='Detailed Feasibility'!$C$56,AV117&lt;'Detailed Feasibility'!$D$56),($H$100/('Detailed Feasibility'!$D$56-'Detailed Feasibility'!$C$56)),0))</f>
        <v/>
      </c>
      <c r="AW121" s="259" t="str">
        <f>IF(AW117="","",IF(AND(AW117&gt;='Detailed Feasibility'!$C$56,AW117&lt;'Detailed Feasibility'!$D$56),($H$100/('Detailed Feasibility'!$D$56-'Detailed Feasibility'!$C$56)),0))</f>
        <v/>
      </c>
      <c r="AX121" s="259" t="str">
        <f>IF(AX117="","",IF(AND(AX117&gt;='Detailed Feasibility'!$C$56,AX117&lt;'Detailed Feasibility'!$D$56),($H$100/('Detailed Feasibility'!$D$56-'Detailed Feasibility'!$C$56)),0))</f>
        <v/>
      </c>
      <c r="AY121" s="259" t="str">
        <f>IF(AY117="","",IF(AND(AY117&gt;='Detailed Feasibility'!$C$56,AY117&lt;'Detailed Feasibility'!$D$56),($H$100/('Detailed Feasibility'!$D$56-'Detailed Feasibility'!$C$56)),0))</f>
        <v/>
      </c>
      <c r="AZ121" s="259" t="str">
        <f>IF(AZ117="","",IF(AND(AZ117&gt;='Detailed Feasibility'!$C$56,AZ117&lt;'Detailed Feasibility'!$D$56),($H$100/('Detailed Feasibility'!$D$56-'Detailed Feasibility'!$C$56)),0))</f>
        <v/>
      </c>
      <c r="BA121" s="259" t="str">
        <f>IF(BA117="","",IF(AND(BA117&gt;='Detailed Feasibility'!$C$56,BA117&lt;'Detailed Feasibility'!$D$56),($H$100/('Detailed Feasibility'!$D$56-'Detailed Feasibility'!$C$56)),0))</f>
        <v/>
      </c>
      <c r="BB121" s="259" t="str">
        <f>IF(BB117="","",IF(AND(BB117&gt;='Detailed Feasibility'!$C$56,BB117&lt;'Detailed Feasibility'!$D$56),($H$100/('Detailed Feasibility'!$D$56-'Detailed Feasibility'!$C$56)),0))</f>
        <v/>
      </c>
      <c r="BC121" s="259" t="str">
        <f>IF(BC117="","",IF(AND(BC117&gt;='Detailed Feasibility'!$C$56,BC117&lt;'Detailed Feasibility'!$D$56),($H$100/('Detailed Feasibility'!$D$56-'Detailed Feasibility'!$C$56)),0))</f>
        <v/>
      </c>
      <c r="BD121" s="259" t="str">
        <f>IF(BD117="","",IF(AND(BD117&gt;='Detailed Feasibility'!$C$56,BD117&lt;'Detailed Feasibility'!$D$56),($H$100/('Detailed Feasibility'!$D$56-'Detailed Feasibility'!$C$56)),0))</f>
        <v/>
      </c>
      <c r="BE121" s="259" t="str">
        <f>IF(BE117="","",IF(AND(BE117&gt;='Detailed Feasibility'!$C$56,BE117&lt;'Detailed Feasibility'!$D$56),($H$100/('Detailed Feasibility'!$D$56-'Detailed Feasibility'!$C$56)),0))</f>
        <v/>
      </c>
      <c r="BF121" s="259" t="str">
        <f>IF(BF117="","",IF(AND(BF117&gt;='Detailed Feasibility'!$C$56,BF117&lt;'Detailed Feasibility'!$D$56),($H$100/('Detailed Feasibility'!$D$56-'Detailed Feasibility'!$C$56)),0))</f>
        <v/>
      </c>
      <c r="BG121" s="259" t="str">
        <f>IF(BG117="","",IF(AND(BG117&gt;='Detailed Feasibility'!$C$56,BG117&lt;'Detailed Feasibility'!$D$56),($H$100/('Detailed Feasibility'!$D$56-'Detailed Feasibility'!$C$56)),0))</f>
        <v/>
      </c>
      <c r="BH121" s="259" t="str">
        <f>IF(BH117="","",IF(AND(BH117&gt;='Detailed Feasibility'!$C$56,BH117&lt;'Detailed Feasibility'!$D$56),($H$100/('Detailed Feasibility'!$D$56-'Detailed Feasibility'!$C$56)),0))</f>
        <v/>
      </c>
      <c r="BI121" s="259" t="str">
        <f>IF(BI117="","",IF(AND(BI117&gt;='Detailed Feasibility'!$C$56,BI117&lt;'Detailed Feasibility'!$D$56),($H$100/('Detailed Feasibility'!$D$56-'Detailed Feasibility'!$C$56)),0))</f>
        <v/>
      </c>
      <c r="BJ121" s="259" t="str">
        <f>IF(BJ117="","",IF(AND(BJ117&gt;='Detailed Feasibility'!$C$56,BJ117&lt;'Detailed Feasibility'!$D$56),($H$100/('Detailed Feasibility'!$D$56-'Detailed Feasibility'!$C$56)),0))</f>
        <v/>
      </c>
      <c r="BK121" s="259" t="str">
        <f>IF(BK117="","",IF(AND(BK117&gt;='Detailed Feasibility'!$C$56,BK117&lt;'Detailed Feasibility'!$D$56),($H$100/('Detailed Feasibility'!$D$56-'Detailed Feasibility'!$C$56)),0))</f>
        <v/>
      </c>
      <c r="BL121" s="259" t="str">
        <f>IF(BL117="","",IF(AND(BL117&gt;='Detailed Feasibility'!$C$56,BL117&lt;'Detailed Feasibility'!$D$56),($H$100/('Detailed Feasibility'!$D$56-'Detailed Feasibility'!$C$56)),0))</f>
        <v/>
      </c>
      <c r="BM121" s="260" t="str">
        <f>IF(BM117="","",IF(AND(BM117&gt;='Detailed Feasibility'!$C$56,BM117&lt;'Detailed Feasibility'!$D$56),($H$100/('Detailed Feasibility'!$D$56-'Detailed Feasibility'!$C$56)),0))</f>
        <v/>
      </c>
    </row>
    <row r="122" spans="2:65" s="198" customFormat="1" x14ac:dyDescent="0.25">
      <c r="B122" s="353"/>
      <c r="C122" s="209" t="str">
        <f>I91</f>
        <v xml:space="preserve">Lockup </v>
      </c>
      <c r="D122" s="212">
        <f>I100</f>
        <v>926932.49999999988</v>
      </c>
      <c r="E122" s="731">
        <f>IF(SUM(F122:BM122)=D122,1,0)</f>
        <v>1</v>
      </c>
      <c r="F122" s="259">
        <f>SUMIF($F$65:$F$85,F117,$K$65:$K$85)</f>
        <v>0</v>
      </c>
      <c r="G122" s="259">
        <f t="shared" ref="G122:AL122" si="11">IF(G117="","",SUMIF($F$65:$F$85,G117,$K$65:$K$85))</f>
        <v>0</v>
      </c>
      <c r="H122" s="259">
        <f t="shared" si="11"/>
        <v>0</v>
      </c>
      <c r="I122" s="259">
        <f t="shared" si="11"/>
        <v>0</v>
      </c>
      <c r="J122" s="259">
        <f t="shared" si="11"/>
        <v>0</v>
      </c>
      <c r="K122" s="259">
        <f t="shared" si="11"/>
        <v>0</v>
      </c>
      <c r="L122" s="259">
        <f t="shared" si="11"/>
        <v>0</v>
      </c>
      <c r="M122" s="259">
        <f t="shared" si="11"/>
        <v>0</v>
      </c>
      <c r="N122" s="259">
        <f t="shared" si="11"/>
        <v>0</v>
      </c>
      <c r="O122" s="259">
        <f t="shared" si="11"/>
        <v>0</v>
      </c>
      <c r="P122" s="259">
        <f t="shared" si="11"/>
        <v>0</v>
      </c>
      <c r="Q122" s="259">
        <f t="shared" si="11"/>
        <v>0</v>
      </c>
      <c r="R122" s="259">
        <f t="shared" si="11"/>
        <v>0</v>
      </c>
      <c r="S122" s="259">
        <f t="shared" si="11"/>
        <v>0</v>
      </c>
      <c r="T122" s="259">
        <f t="shared" si="11"/>
        <v>0</v>
      </c>
      <c r="U122" s="259">
        <f t="shared" si="11"/>
        <v>0</v>
      </c>
      <c r="V122" s="259">
        <f t="shared" si="11"/>
        <v>84431.874999999985</v>
      </c>
      <c r="W122" s="259">
        <f t="shared" si="11"/>
        <v>377216.24999999994</v>
      </c>
      <c r="X122" s="259">
        <f t="shared" si="11"/>
        <v>0</v>
      </c>
      <c r="Y122" s="259">
        <f t="shared" si="11"/>
        <v>0</v>
      </c>
      <c r="Z122" s="259">
        <f t="shared" si="11"/>
        <v>0</v>
      </c>
      <c r="AA122" s="259">
        <f t="shared" si="11"/>
        <v>0</v>
      </c>
      <c r="AB122" s="259">
        <f t="shared" si="11"/>
        <v>0</v>
      </c>
      <c r="AC122" s="259">
        <f t="shared" si="11"/>
        <v>465284.37499999994</v>
      </c>
      <c r="AD122" s="259">
        <f t="shared" si="11"/>
        <v>0</v>
      </c>
      <c r="AE122" s="259">
        <f t="shared" si="11"/>
        <v>0</v>
      </c>
      <c r="AF122" s="259" t="str">
        <f t="shared" si="11"/>
        <v/>
      </c>
      <c r="AG122" s="259" t="str">
        <f t="shared" si="11"/>
        <v/>
      </c>
      <c r="AH122" s="259" t="str">
        <f t="shared" si="11"/>
        <v/>
      </c>
      <c r="AI122" s="259" t="str">
        <f t="shared" si="11"/>
        <v/>
      </c>
      <c r="AJ122" s="259" t="str">
        <f t="shared" si="11"/>
        <v/>
      </c>
      <c r="AK122" s="259" t="str">
        <f t="shared" si="11"/>
        <v/>
      </c>
      <c r="AL122" s="259" t="str">
        <f t="shared" si="11"/>
        <v/>
      </c>
      <c r="AM122" s="259" t="str">
        <f t="shared" ref="AM122:BM122" si="12">IF(AM117="","",SUMIF($F$65:$F$85,AM117,$K$65:$K$85))</f>
        <v/>
      </c>
      <c r="AN122" s="259" t="str">
        <f t="shared" si="12"/>
        <v/>
      </c>
      <c r="AO122" s="259" t="str">
        <f t="shared" si="12"/>
        <v/>
      </c>
      <c r="AP122" s="259" t="str">
        <f t="shared" si="12"/>
        <v/>
      </c>
      <c r="AQ122" s="259" t="str">
        <f t="shared" si="12"/>
        <v/>
      </c>
      <c r="AR122" s="259" t="str">
        <f t="shared" si="12"/>
        <v/>
      </c>
      <c r="AS122" s="259" t="str">
        <f t="shared" si="12"/>
        <v/>
      </c>
      <c r="AT122" s="259" t="str">
        <f t="shared" si="12"/>
        <v/>
      </c>
      <c r="AU122" s="259" t="str">
        <f t="shared" si="12"/>
        <v/>
      </c>
      <c r="AV122" s="259" t="str">
        <f t="shared" si="12"/>
        <v/>
      </c>
      <c r="AW122" s="259" t="str">
        <f t="shared" si="12"/>
        <v/>
      </c>
      <c r="AX122" s="259" t="str">
        <f t="shared" si="12"/>
        <v/>
      </c>
      <c r="AY122" s="259" t="str">
        <f t="shared" si="12"/>
        <v/>
      </c>
      <c r="AZ122" s="259" t="str">
        <f t="shared" si="12"/>
        <v/>
      </c>
      <c r="BA122" s="259" t="str">
        <f t="shared" si="12"/>
        <v/>
      </c>
      <c r="BB122" s="259" t="str">
        <f t="shared" si="12"/>
        <v/>
      </c>
      <c r="BC122" s="259" t="str">
        <f t="shared" si="12"/>
        <v/>
      </c>
      <c r="BD122" s="259" t="str">
        <f t="shared" si="12"/>
        <v/>
      </c>
      <c r="BE122" s="259" t="str">
        <f t="shared" si="12"/>
        <v/>
      </c>
      <c r="BF122" s="259" t="str">
        <f t="shared" si="12"/>
        <v/>
      </c>
      <c r="BG122" s="259" t="str">
        <f t="shared" si="12"/>
        <v/>
      </c>
      <c r="BH122" s="259" t="str">
        <f t="shared" si="12"/>
        <v/>
      </c>
      <c r="BI122" s="259" t="str">
        <f t="shared" si="12"/>
        <v/>
      </c>
      <c r="BJ122" s="259" t="str">
        <f t="shared" si="12"/>
        <v/>
      </c>
      <c r="BK122" s="259" t="str">
        <f t="shared" si="12"/>
        <v/>
      </c>
      <c r="BL122" s="259" t="str">
        <f t="shared" si="12"/>
        <v/>
      </c>
      <c r="BM122" s="260" t="str">
        <f t="shared" si="12"/>
        <v/>
      </c>
    </row>
    <row r="123" spans="2:65" s="198" customFormat="1" x14ac:dyDescent="0.25">
      <c r="B123" s="353"/>
      <c r="C123" s="209" t="str">
        <f>J91</f>
        <v xml:space="preserve">Completion </v>
      </c>
      <c r="D123" s="212">
        <f>J100</f>
        <v>1235909.9999999998</v>
      </c>
      <c r="E123" s="731">
        <f>IF(SUM(F123:BM123)=D123,1,0)</f>
        <v>1</v>
      </c>
      <c r="F123" s="259">
        <f>SUMIF($H$65:$H$86,F117,$L$65:$L$86)</f>
        <v>0</v>
      </c>
      <c r="G123" s="259">
        <f t="shared" ref="G123:AL123" si="13">IF(G117="","",SUMIF($G$65:$G$84,G117,$L$65:$L$86))</f>
        <v>0</v>
      </c>
      <c r="H123" s="259">
        <f t="shared" si="13"/>
        <v>0</v>
      </c>
      <c r="I123" s="259">
        <f t="shared" si="13"/>
        <v>0</v>
      </c>
      <c r="J123" s="259">
        <f t="shared" si="13"/>
        <v>0</v>
      </c>
      <c r="K123" s="259">
        <f t="shared" si="13"/>
        <v>0</v>
      </c>
      <c r="L123" s="259">
        <f t="shared" si="13"/>
        <v>0</v>
      </c>
      <c r="M123" s="259">
        <f t="shared" si="13"/>
        <v>0</v>
      </c>
      <c r="N123" s="259">
        <f t="shared" si="13"/>
        <v>0</v>
      </c>
      <c r="O123" s="259">
        <f t="shared" si="13"/>
        <v>0</v>
      </c>
      <c r="P123" s="259">
        <f t="shared" si="13"/>
        <v>0</v>
      </c>
      <c r="Q123" s="259">
        <f t="shared" si="13"/>
        <v>0</v>
      </c>
      <c r="R123" s="259">
        <f t="shared" si="13"/>
        <v>0</v>
      </c>
      <c r="S123" s="259">
        <f t="shared" si="13"/>
        <v>0</v>
      </c>
      <c r="T123" s="259">
        <f t="shared" si="13"/>
        <v>0</v>
      </c>
      <c r="U123" s="259">
        <f t="shared" si="13"/>
        <v>0</v>
      </c>
      <c r="V123" s="259">
        <f t="shared" si="13"/>
        <v>0</v>
      </c>
      <c r="W123" s="259">
        <f t="shared" si="13"/>
        <v>112575.83333333333</v>
      </c>
      <c r="X123" s="259">
        <f t="shared" si="13"/>
        <v>0</v>
      </c>
      <c r="Y123" s="259">
        <f t="shared" si="13"/>
        <v>0</v>
      </c>
      <c r="Z123" s="259">
        <f t="shared" si="13"/>
        <v>502954.99999999994</v>
      </c>
      <c r="AA123" s="259">
        <f t="shared" si="13"/>
        <v>0</v>
      </c>
      <c r="AB123" s="259">
        <f t="shared" si="13"/>
        <v>0</v>
      </c>
      <c r="AC123" s="259">
        <f t="shared" si="13"/>
        <v>0</v>
      </c>
      <c r="AD123" s="259">
        <f t="shared" si="13"/>
        <v>620379.16666666674</v>
      </c>
      <c r="AE123" s="259">
        <f t="shared" si="13"/>
        <v>0</v>
      </c>
      <c r="AF123" s="259" t="str">
        <f t="shared" si="13"/>
        <v/>
      </c>
      <c r="AG123" s="259" t="str">
        <f t="shared" si="13"/>
        <v/>
      </c>
      <c r="AH123" s="259" t="str">
        <f t="shared" si="13"/>
        <v/>
      </c>
      <c r="AI123" s="259" t="str">
        <f t="shared" si="13"/>
        <v/>
      </c>
      <c r="AJ123" s="259" t="str">
        <f t="shared" si="13"/>
        <v/>
      </c>
      <c r="AK123" s="259" t="str">
        <f t="shared" si="13"/>
        <v/>
      </c>
      <c r="AL123" s="259" t="str">
        <f t="shared" si="13"/>
        <v/>
      </c>
      <c r="AM123" s="259" t="str">
        <f t="shared" ref="AM123:BM123" si="14">IF(AM117="","",SUMIF($G$65:$G$84,AM117,$L$65:$L$86))</f>
        <v/>
      </c>
      <c r="AN123" s="259" t="str">
        <f t="shared" si="14"/>
        <v/>
      </c>
      <c r="AO123" s="259" t="str">
        <f t="shared" si="14"/>
        <v/>
      </c>
      <c r="AP123" s="259" t="str">
        <f t="shared" si="14"/>
        <v/>
      </c>
      <c r="AQ123" s="259" t="str">
        <f t="shared" si="14"/>
        <v/>
      </c>
      <c r="AR123" s="259" t="str">
        <f t="shared" si="14"/>
        <v/>
      </c>
      <c r="AS123" s="259" t="str">
        <f t="shared" si="14"/>
        <v/>
      </c>
      <c r="AT123" s="259" t="str">
        <f t="shared" si="14"/>
        <v/>
      </c>
      <c r="AU123" s="259" t="str">
        <f t="shared" si="14"/>
        <v/>
      </c>
      <c r="AV123" s="259" t="str">
        <f t="shared" si="14"/>
        <v/>
      </c>
      <c r="AW123" s="259" t="str">
        <f t="shared" si="14"/>
        <v/>
      </c>
      <c r="AX123" s="259" t="str">
        <f t="shared" si="14"/>
        <v/>
      </c>
      <c r="AY123" s="259" t="str">
        <f t="shared" si="14"/>
        <v/>
      </c>
      <c r="AZ123" s="259" t="str">
        <f t="shared" si="14"/>
        <v/>
      </c>
      <c r="BA123" s="259" t="str">
        <f t="shared" si="14"/>
        <v/>
      </c>
      <c r="BB123" s="259" t="str">
        <f t="shared" si="14"/>
        <v/>
      </c>
      <c r="BC123" s="259" t="str">
        <f t="shared" si="14"/>
        <v/>
      </c>
      <c r="BD123" s="259" t="str">
        <f t="shared" si="14"/>
        <v/>
      </c>
      <c r="BE123" s="259" t="str">
        <f t="shared" si="14"/>
        <v/>
      </c>
      <c r="BF123" s="259" t="str">
        <f t="shared" si="14"/>
        <v/>
      </c>
      <c r="BG123" s="259" t="str">
        <f t="shared" si="14"/>
        <v/>
      </c>
      <c r="BH123" s="259" t="str">
        <f t="shared" si="14"/>
        <v/>
      </c>
      <c r="BI123" s="259" t="str">
        <f t="shared" si="14"/>
        <v/>
      </c>
      <c r="BJ123" s="259" t="str">
        <f t="shared" si="14"/>
        <v/>
      </c>
      <c r="BK123" s="259" t="str">
        <f t="shared" si="14"/>
        <v/>
      </c>
      <c r="BL123" s="259" t="str">
        <f t="shared" si="14"/>
        <v/>
      </c>
      <c r="BM123" s="260" t="str">
        <f t="shared" si="14"/>
        <v/>
      </c>
    </row>
    <row r="124" spans="2:65" s="198" customFormat="1" x14ac:dyDescent="0.25">
      <c r="B124" s="261" t="s">
        <v>398</v>
      </c>
      <c r="C124" s="209"/>
      <c r="D124" s="212">
        <f>K100</f>
        <v>3089774.9999999995</v>
      </c>
      <c r="E124" s="731">
        <f>IF(SUM(F124:BM124)=D124,1,0)</f>
        <v>1</v>
      </c>
      <c r="F124" s="259">
        <f>SUM(F120:F123)</f>
        <v>926932.49999999988</v>
      </c>
      <c r="G124" s="259">
        <f>IF(G117="","",SUM(G120:G123))</f>
        <v>0</v>
      </c>
      <c r="H124" s="259">
        <f t="shared" ref="H124:BM124" si="15">IF(H117="","",SUM(H120:H123))</f>
        <v>0</v>
      </c>
      <c r="I124" s="259">
        <f t="shared" si="15"/>
        <v>0</v>
      </c>
      <c r="J124" s="259">
        <f t="shared" si="15"/>
        <v>0</v>
      </c>
      <c r="K124" s="259">
        <f t="shared" si="15"/>
        <v>0</v>
      </c>
      <c r="L124" s="259">
        <f t="shared" si="15"/>
        <v>0</v>
      </c>
      <c r="M124" s="259">
        <f t="shared" si="15"/>
        <v>0</v>
      </c>
      <c r="N124" s="259">
        <f t="shared" si="15"/>
        <v>0</v>
      </c>
      <c r="O124" s="259">
        <f t="shared" si="15"/>
        <v>0</v>
      </c>
      <c r="P124" s="259">
        <f t="shared" si="15"/>
        <v>0</v>
      </c>
      <c r="Q124" s="259">
        <f t="shared" si="15"/>
        <v>0</v>
      </c>
      <c r="R124" s="259">
        <f t="shared" si="15"/>
        <v>0</v>
      </c>
      <c r="S124" s="259">
        <f t="shared" si="15"/>
        <v>0</v>
      </c>
      <c r="T124" s="259">
        <f t="shared" si="15"/>
        <v>0</v>
      </c>
      <c r="U124" s="259">
        <f t="shared" si="15"/>
        <v>0</v>
      </c>
      <c r="V124" s="259">
        <f t="shared" si="15"/>
        <v>84431.874999999985</v>
      </c>
      <c r="W124" s="259">
        <f t="shared" si="15"/>
        <v>489792.08333333326</v>
      </c>
      <c r="X124" s="259">
        <f t="shared" si="15"/>
        <v>0</v>
      </c>
      <c r="Y124" s="259">
        <f t="shared" si="15"/>
        <v>0</v>
      </c>
      <c r="Z124" s="259">
        <f t="shared" si="15"/>
        <v>502954.99999999994</v>
      </c>
      <c r="AA124" s="259">
        <f t="shared" si="15"/>
        <v>0</v>
      </c>
      <c r="AB124" s="259">
        <f t="shared" si="15"/>
        <v>0</v>
      </c>
      <c r="AC124" s="259">
        <f t="shared" si="15"/>
        <v>465284.37499999994</v>
      </c>
      <c r="AD124" s="259">
        <f t="shared" si="15"/>
        <v>620379.16666666674</v>
      </c>
      <c r="AE124" s="259">
        <f t="shared" si="15"/>
        <v>0</v>
      </c>
      <c r="AF124" s="259" t="str">
        <f t="shared" si="15"/>
        <v/>
      </c>
      <c r="AG124" s="259" t="str">
        <f t="shared" si="15"/>
        <v/>
      </c>
      <c r="AH124" s="259" t="str">
        <f t="shared" si="15"/>
        <v/>
      </c>
      <c r="AI124" s="259" t="str">
        <f t="shared" si="15"/>
        <v/>
      </c>
      <c r="AJ124" s="259" t="str">
        <f t="shared" si="15"/>
        <v/>
      </c>
      <c r="AK124" s="259" t="str">
        <f t="shared" si="15"/>
        <v/>
      </c>
      <c r="AL124" s="259" t="str">
        <f t="shared" si="15"/>
        <v/>
      </c>
      <c r="AM124" s="259" t="str">
        <f t="shared" si="15"/>
        <v/>
      </c>
      <c r="AN124" s="259" t="str">
        <f t="shared" si="15"/>
        <v/>
      </c>
      <c r="AO124" s="259" t="str">
        <f t="shared" si="15"/>
        <v/>
      </c>
      <c r="AP124" s="259" t="str">
        <f t="shared" si="15"/>
        <v/>
      </c>
      <c r="AQ124" s="259" t="str">
        <f t="shared" si="15"/>
        <v/>
      </c>
      <c r="AR124" s="259" t="str">
        <f t="shared" si="15"/>
        <v/>
      </c>
      <c r="AS124" s="259" t="str">
        <f t="shared" si="15"/>
        <v/>
      </c>
      <c r="AT124" s="259" t="str">
        <f t="shared" si="15"/>
        <v/>
      </c>
      <c r="AU124" s="259" t="str">
        <f t="shared" si="15"/>
        <v/>
      </c>
      <c r="AV124" s="259" t="str">
        <f t="shared" si="15"/>
        <v/>
      </c>
      <c r="AW124" s="259" t="str">
        <f t="shared" si="15"/>
        <v/>
      </c>
      <c r="AX124" s="259" t="str">
        <f t="shared" si="15"/>
        <v/>
      </c>
      <c r="AY124" s="259" t="str">
        <f t="shared" si="15"/>
        <v/>
      </c>
      <c r="AZ124" s="259" t="str">
        <f t="shared" si="15"/>
        <v/>
      </c>
      <c r="BA124" s="259" t="str">
        <f t="shared" si="15"/>
        <v/>
      </c>
      <c r="BB124" s="259" t="str">
        <f t="shared" si="15"/>
        <v/>
      </c>
      <c r="BC124" s="259" t="str">
        <f t="shared" si="15"/>
        <v/>
      </c>
      <c r="BD124" s="259" t="str">
        <f t="shared" si="15"/>
        <v/>
      </c>
      <c r="BE124" s="259" t="str">
        <f t="shared" si="15"/>
        <v/>
      </c>
      <c r="BF124" s="259" t="str">
        <f t="shared" si="15"/>
        <v/>
      </c>
      <c r="BG124" s="259" t="str">
        <f t="shared" si="15"/>
        <v/>
      </c>
      <c r="BH124" s="259" t="str">
        <f t="shared" si="15"/>
        <v/>
      </c>
      <c r="BI124" s="259" t="str">
        <f t="shared" si="15"/>
        <v/>
      </c>
      <c r="BJ124" s="259" t="str">
        <f t="shared" si="15"/>
        <v/>
      </c>
      <c r="BK124" s="259" t="str">
        <f t="shared" si="15"/>
        <v/>
      </c>
      <c r="BL124" s="259" t="str">
        <f t="shared" si="15"/>
        <v/>
      </c>
      <c r="BM124" s="260" t="str">
        <f t="shared" si="15"/>
        <v/>
      </c>
    </row>
    <row r="125" spans="2:65" s="198" customFormat="1" x14ac:dyDescent="0.25">
      <c r="B125" s="514" t="s">
        <v>396</v>
      </c>
      <c r="C125" s="274"/>
      <c r="D125" s="323"/>
      <c r="E125" s="275"/>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c r="AZ125" s="324"/>
      <c r="BA125" s="324"/>
      <c r="BB125" s="324"/>
      <c r="BC125" s="324"/>
      <c r="BD125" s="324"/>
      <c r="BE125" s="324"/>
      <c r="BF125" s="324"/>
      <c r="BG125" s="324"/>
      <c r="BH125" s="324"/>
      <c r="BI125" s="324"/>
      <c r="BJ125" s="324"/>
      <c r="BK125" s="324"/>
      <c r="BL125" s="324"/>
      <c r="BM125" s="268"/>
    </row>
    <row r="126" spans="2:65" s="198" customFormat="1" x14ac:dyDescent="0.25">
      <c r="B126" s="353" t="str">
        <f>B106</f>
        <v xml:space="preserve">Provider Cash Contribution </v>
      </c>
      <c r="C126" s="209"/>
      <c r="D126" s="212">
        <f>D106</f>
        <v>0</v>
      </c>
      <c r="E126" s="731">
        <f>IF(SUM(F126:BM126)=D126,1,0)</f>
        <v>1</v>
      </c>
      <c r="F126" s="259">
        <f>IF(F117=$E$106,$D$106,0)</f>
        <v>0</v>
      </c>
      <c r="G126" s="259">
        <f t="shared" ref="G126:AL126" si="16">IF(G117="","",IF(G117=$E$106,$D$106,0))</f>
        <v>0</v>
      </c>
      <c r="H126" s="259">
        <f t="shared" si="16"/>
        <v>0</v>
      </c>
      <c r="I126" s="259">
        <f t="shared" si="16"/>
        <v>0</v>
      </c>
      <c r="J126" s="259">
        <f t="shared" si="16"/>
        <v>0</v>
      </c>
      <c r="K126" s="259">
        <f t="shared" si="16"/>
        <v>0</v>
      </c>
      <c r="L126" s="259">
        <f t="shared" si="16"/>
        <v>0</v>
      </c>
      <c r="M126" s="259">
        <f t="shared" si="16"/>
        <v>0</v>
      </c>
      <c r="N126" s="259">
        <f t="shared" si="16"/>
        <v>0</v>
      </c>
      <c r="O126" s="259">
        <f t="shared" si="16"/>
        <v>0</v>
      </c>
      <c r="P126" s="259">
        <f t="shared" si="16"/>
        <v>0</v>
      </c>
      <c r="Q126" s="259">
        <f t="shared" si="16"/>
        <v>0</v>
      </c>
      <c r="R126" s="259">
        <f t="shared" si="16"/>
        <v>0</v>
      </c>
      <c r="S126" s="259">
        <f t="shared" si="16"/>
        <v>0</v>
      </c>
      <c r="T126" s="259">
        <f t="shared" si="16"/>
        <v>0</v>
      </c>
      <c r="U126" s="259">
        <f t="shared" si="16"/>
        <v>0</v>
      </c>
      <c r="V126" s="259">
        <f t="shared" si="16"/>
        <v>0</v>
      </c>
      <c r="W126" s="259">
        <f t="shared" si="16"/>
        <v>0</v>
      </c>
      <c r="X126" s="259">
        <f t="shared" si="16"/>
        <v>0</v>
      </c>
      <c r="Y126" s="259">
        <f t="shared" si="16"/>
        <v>0</v>
      </c>
      <c r="Z126" s="259">
        <f t="shared" si="16"/>
        <v>0</v>
      </c>
      <c r="AA126" s="259">
        <f t="shared" si="16"/>
        <v>0</v>
      </c>
      <c r="AB126" s="259">
        <f t="shared" si="16"/>
        <v>0</v>
      </c>
      <c r="AC126" s="259">
        <f t="shared" si="16"/>
        <v>0</v>
      </c>
      <c r="AD126" s="259">
        <f t="shared" si="16"/>
        <v>0</v>
      </c>
      <c r="AE126" s="259">
        <f t="shared" si="16"/>
        <v>0</v>
      </c>
      <c r="AF126" s="259" t="str">
        <f t="shared" si="16"/>
        <v/>
      </c>
      <c r="AG126" s="259" t="str">
        <f t="shared" si="16"/>
        <v/>
      </c>
      <c r="AH126" s="259" t="str">
        <f t="shared" si="16"/>
        <v/>
      </c>
      <c r="AI126" s="259" t="str">
        <f t="shared" si="16"/>
        <v/>
      </c>
      <c r="AJ126" s="259" t="str">
        <f t="shared" si="16"/>
        <v/>
      </c>
      <c r="AK126" s="259" t="str">
        <f t="shared" si="16"/>
        <v/>
      </c>
      <c r="AL126" s="259" t="str">
        <f t="shared" si="16"/>
        <v/>
      </c>
      <c r="AM126" s="259" t="str">
        <f t="shared" ref="AM126:BM126" si="17">IF(AM117="","",IF(AM117=$E$106,$D$106,0))</f>
        <v/>
      </c>
      <c r="AN126" s="259" t="str">
        <f t="shared" si="17"/>
        <v/>
      </c>
      <c r="AO126" s="259" t="str">
        <f t="shared" si="17"/>
        <v/>
      </c>
      <c r="AP126" s="259" t="str">
        <f t="shared" si="17"/>
        <v/>
      </c>
      <c r="AQ126" s="259" t="str">
        <f t="shared" si="17"/>
        <v/>
      </c>
      <c r="AR126" s="259" t="str">
        <f t="shared" si="17"/>
        <v/>
      </c>
      <c r="AS126" s="259" t="str">
        <f t="shared" si="17"/>
        <v/>
      </c>
      <c r="AT126" s="259" t="str">
        <f t="shared" si="17"/>
        <v/>
      </c>
      <c r="AU126" s="259" t="str">
        <f t="shared" si="17"/>
        <v/>
      </c>
      <c r="AV126" s="259" t="str">
        <f t="shared" si="17"/>
        <v/>
      </c>
      <c r="AW126" s="259" t="str">
        <f t="shared" si="17"/>
        <v/>
      </c>
      <c r="AX126" s="259" t="str">
        <f t="shared" si="17"/>
        <v/>
      </c>
      <c r="AY126" s="259" t="str">
        <f t="shared" si="17"/>
        <v/>
      </c>
      <c r="AZ126" s="259" t="str">
        <f t="shared" si="17"/>
        <v/>
      </c>
      <c r="BA126" s="259" t="str">
        <f t="shared" si="17"/>
        <v/>
      </c>
      <c r="BB126" s="259" t="str">
        <f t="shared" si="17"/>
        <v/>
      </c>
      <c r="BC126" s="259" t="str">
        <f t="shared" si="17"/>
        <v/>
      </c>
      <c r="BD126" s="259" t="str">
        <f t="shared" si="17"/>
        <v/>
      </c>
      <c r="BE126" s="259" t="str">
        <f t="shared" si="17"/>
        <v/>
      </c>
      <c r="BF126" s="259" t="str">
        <f t="shared" si="17"/>
        <v/>
      </c>
      <c r="BG126" s="259" t="str">
        <f t="shared" si="17"/>
        <v/>
      </c>
      <c r="BH126" s="259" t="str">
        <f t="shared" si="17"/>
        <v/>
      </c>
      <c r="BI126" s="259" t="str">
        <f t="shared" si="17"/>
        <v/>
      </c>
      <c r="BJ126" s="259" t="str">
        <f t="shared" si="17"/>
        <v/>
      </c>
      <c r="BK126" s="259" t="str">
        <f t="shared" si="17"/>
        <v/>
      </c>
      <c r="BL126" s="259" t="str">
        <f t="shared" si="17"/>
        <v/>
      </c>
      <c r="BM126" s="260" t="str">
        <f t="shared" si="17"/>
        <v/>
      </c>
    </row>
    <row r="127" spans="2:65" s="198" customFormat="1" x14ac:dyDescent="0.25">
      <c r="B127" s="353" t="str">
        <f>B107</f>
        <v xml:space="preserve">Other Source </v>
      </c>
      <c r="C127" s="209"/>
      <c r="D127" s="212">
        <f>D107</f>
        <v>0</v>
      </c>
      <c r="E127" s="731">
        <f>IF(SUM(F127:BM127)=D127,1,0)</f>
        <v>1</v>
      </c>
      <c r="F127" s="259">
        <f>IF(F117=$E$107,$D$107,0)</f>
        <v>0</v>
      </c>
      <c r="G127" s="259">
        <f t="shared" ref="G127:AL127" si="18">IF(G117="","",IF(G117=$E$107,$D$107,0))</f>
        <v>0</v>
      </c>
      <c r="H127" s="259">
        <f t="shared" si="18"/>
        <v>0</v>
      </c>
      <c r="I127" s="259">
        <f t="shared" si="18"/>
        <v>0</v>
      </c>
      <c r="J127" s="259">
        <f t="shared" si="18"/>
        <v>0</v>
      </c>
      <c r="K127" s="259">
        <f t="shared" si="18"/>
        <v>0</v>
      </c>
      <c r="L127" s="259">
        <f t="shared" si="18"/>
        <v>0</v>
      </c>
      <c r="M127" s="259">
        <f t="shared" si="18"/>
        <v>0</v>
      </c>
      <c r="N127" s="259">
        <f t="shared" si="18"/>
        <v>0</v>
      </c>
      <c r="O127" s="259">
        <f t="shared" si="18"/>
        <v>0</v>
      </c>
      <c r="P127" s="259">
        <f t="shared" si="18"/>
        <v>0</v>
      </c>
      <c r="Q127" s="259">
        <f t="shared" si="18"/>
        <v>0</v>
      </c>
      <c r="R127" s="259">
        <f t="shared" si="18"/>
        <v>0</v>
      </c>
      <c r="S127" s="259">
        <f t="shared" si="18"/>
        <v>0</v>
      </c>
      <c r="T127" s="259">
        <f t="shared" si="18"/>
        <v>0</v>
      </c>
      <c r="U127" s="259">
        <f t="shared" si="18"/>
        <v>0</v>
      </c>
      <c r="V127" s="259">
        <f t="shared" si="18"/>
        <v>0</v>
      </c>
      <c r="W127" s="259">
        <f t="shared" si="18"/>
        <v>0</v>
      </c>
      <c r="X127" s="259">
        <f t="shared" si="18"/>
        <v>0</v>
      </c>
      <c r="Y127" s="259">
        <f t="shared" si="18"/>
        <v>0</v>
      </c>
      <c r="Z127" s="259">
        <f t="shared" si="18"/>
        <v>0</v>
      </c>
      <c r="AA127" s="259">
        <f t="shared" si="18"/>
        <v>0</v>
      </c>
      <c r="AB127" s="259">
        <f t="shared" si="18"/>
        <v>0</v>
      </c>
      <c r="AC127" s="259">
        <f t="shared" si="18"/>
        <v>0</v>
      </c>
      <c r="AD127" s="259">
        <f t="shared" si="18"/>
        <v>0</v>
      </c>
      <c r="AE127" s="259">
        <f t="shared" si="18"/>
        <v>0</v>
      </c>
      <c r="AF127" s="259" t="str">
        <f t="shared" si="18"/>
        <v/>
      </c>
      <c r="AG127" s="259" t="str">
        <f t="shared" si="18"/>
        <v/>
      </c>
      <c r="AH127" s="259" t="str">
        <f t="shared" si="18"/>
        <v/>
      </c>
      <c r="AI127" s="259" t="str">
        <f t="shared" si="18"/>
        <v/>
      </c>
      <c r="AJ127" s="259" t="str">
        <f t="shared" si="18"/>
        <v/>
      </c>
      <c r="AK127" s="259" t="str">
        <f t="shared" si="18"/>
        <v/>
      </c>
      <c r="AL127" s="259" t="str">
        <f t="shared" si="18"/>
        <v/>
      </c>
      <c r="AM127" s="259" t="str">
        <f t="shared" ref="AM127:BM127" si="19">IF(AM117="","",IF(AM117=$E$107,$D$107,0))</f>
        <v/>
      </c>
      <c r="AN127" s="259" t="str">
        <f t="shared" si="19"/>
        <v/>
      </c>
      <c r="AO127" s="259" t="str">
        <f t="shared" si="19"/>
        <v/>
      </c>
      <c r="AP127" s="259" t="str">
        <f t="shared" si="19"/>
        <v/>
      </c>
      <c r="AQ127" s="259" t="str">
        <f t="shared" si="19"/>
        <v/>
      </c>
      <c r="AR127" s="259" t="str">
        <f t="shared" si="19"/>
        <v/>
      </c>
      <c r="AS127" s="259" t="str">
        <f t="shared" si="19"/>
        <v/>
      </c>
      <c r="AT127" s="259" t="str">
        <f t="shared" si="19"/>
        <v/>
      </c>
      <c r="AU127" s="259" t="str">
        <f t="shared" si="19"/>
        <v/>
      </c>
      <c r="AV127" s="259" t="str">
        <f t="shared" si="19"/>
        <v/>
      </c>
      <c r="AW127" s="259" t="str">
        <f t="shared" si="19"/>
        <v/>
      </c>
      <c r="AX127" s="259" t="str">
        <f t="shared" si="19"/>
        <v/>
      </c>
      <c r="AY127" s="259" t="str">
        <f t="shared" si="19"/>
        <v/>
      </c>
      <c r="AZ127" s="259" t="str">
        <f t="shared" si="19"/>
        <v/>
      </c>
      <c r="BA127" s="259" t="str">
        <f t="shared" si="19"/>
        <v/>
      </c>
      <c r="BB127" s="259" t="str">
        <f t="shared" si="19"/>
        <v/>
      </c>
      <c r="BC127" s="259" t="str">
        <f t="shared" si="19"/>
        <v/>
      </c>
      <c r="BD127" s="259" t="str">
        <f t="shared" si="19"/>
        <v/>
      </c>
      <c r="BE127" s="259" t="str">
        <f t="shared" si="19"/>
        <v/>
      </c>
      <c r="BF127" s="259" t="str">
        <f t="shared" si="19"/>
        <v/>
      </c>
      <c r="BG127" s="259" t="str">
        <f t="shared" si="19"/>
        <v/>
      </c>
      <c r="BH127" s="259" t="str">
        <f t="shared" si="19"/>
        <v/>
      </c>
      <c r="BI127" s="259" t="str">
        <f t="shared" si="19"/>
        <v/>
      </c>
      <c r="BJ127" s="259" t="str">
        <f t="shared" si="19"/>
        <v/>
      </c>
      <c r="BK127" s="259" t="str">
        <f t="shared" si="19"/>
        <v/>
      </c>
      <c r="BL127" s="259" t="str">
        <f t="shared" si="19"/>
        <v/>
      </c>
      <c r="BM127" s="260" t="str">
        <f t="shared" si="19"/>
        <v/>
      </c>
    </row>
    <row r="128" spans="2:65" s="198" customFormat="1" x14ac:dyDescent="0.25">
      <c r="B128" s="353" t="str">
        <f>B108</f>
        <v xml:space="preserve">Other Source </v>
      </c>
      <c r="C128" s="209"/>
      <c r="D128" s="212">
        <f>D108</f>
        <v>0</v>
      </c>
      <c r="E128" s="731">
        <f>IF(SUM(F128:BM128)=D128,1,0)</f>
        <v>1</v>
      </c>
      <c r="F128" s="259">
        <f>IF(F117=$E$108,$D$108,0)</f>
        <v>0</v>
      </c>
      <c r="G128" s="259">
        <f t="shared" ref="G128:AL128" si="20">IF(G117="","",IF(G117=$E$108,$D$108,0))</f>
        <v>0</v>
      </c>
      <c r="H128" s="259">
        <f t="shared" si="20"/>
        <v>0</v>
      </c>
      <c r="I128" s="259">
        <f t="shared" si="20"/>
        <v>0</v>
      </c>
      <c r="J128" s="259">
        <f t="shared" si="20"/>
        <v>0</v>
      </c>
      <c r="K128" s="259">
        <f t="shared" si="20"/>
        <v>0</v>
      </c>
      <c r="L128" s="259">
        <f t="shared" si="20"/>
        <v>0</v>
      </c>
      <c r="M128" s="259">
        <f t="shared" si="20"/>
        <v>0</v>
      </c>
      <c r="N128" s="259">
        <f t="shared" si="20"/>
        <v>0</v>
      </c>
      <c r="O128" s="259">
        <f t="shared" si="20"/>
        <v>0</v>
      </c>
      <c r="P128" s="259">
        <f t="shared" si="20"/>
        <v>0</v>
      </c>
      <c r="Q128" s="259">
        <f t="shared" si="20"/>
        <v>0</v>
      </c>
      <c r="R128" s="259">
        <f t="shared" si="20"/>
        <v>0</v>
      </c>
      <c r="S128" s="259">
        <f t="shared" si="20"/>
        <v>0</v>
      </c>
      <c r="T128" s="259">
        <f t="shared" si="20"/>
        <v>0</v>
      </c>
      <c r="U128" s="259">
        <f t="shared" si="20"/>
        <v>0</v>
      </c>
      <c r="V128" s="259">
        <f t="shared" si="20"/>
        <v>0</v>
      </c>
      <c r="W128" s="259">
        <f t="shared" si="20"/>
        <v>0</v>
      </c>
      <c r="X128" s="259">
        <f t="shared" si="20"/>
        <v>0</v>
      </c>
      <c r="Y128" s="259">
        <f t="shared" si="20"/>
        <v>0</v>
      </c>
      <c r="Z128" s="259">
        <f t="shared" si="20"/>
        <v>0</v>
      </c>
      <c r="AA128" s="259">
        <f t="shared" si="20"/>
        <v>0</v>
      </c>
      <c r="AB128" s="259">
        <f t="shared" si="20"/>
        <v>0</v>
      </c>
      <c r="AC128" s="259">
        <f t="shared" si="20"/>
        <v>0</v>
      </c>
      <c r="AD128" s="259">
        <f t="shared" si="20"/>
        <v>0</v>
      </c>
      <c r="AE128" s="259">
        <f t="shared" si="20"/>
        <v>0</v>
      </c>
      <c r="AF128" s="259" t="str">
        <f t="shared" si="20"/>
        <v/>
      </c>
      <c r="AG128" s="259" t="str">
        <f t="shared" si="20"/>
        <v/>
      </c>
      <c r="AH128" s="259" t="str">
        <f t="shared" si="20"/>
        <v/>
      </c>
      <c r="AI128" s="259" t="str">
        <f t="shared" si="20"/>
        <v/>
      </c>
      <c r="AJ128" s="259" t="str">
        <f t="shared" si="20"/>
        <v/>
      </c>
      <c r="AK128" s="259" t="str">
        <f t="shared" si="20"/>
        <v/>
      </c>
      <c r="AL128" s="259" t="str">
        <f t="shared" si="20"/>
        <v/>
      </c>
      <c r="AM128" s="259" t="str">
        <f t="shared" ref="AM128:BM128" si="21">IF(AM117="","",IF(AM117=$E$108,$D$108,0))</f>
        <v/>
      </c>
      <c r="AN128" s="259" t="str">
        <f t="shared" si="21"/>
        <v/>
      </c>
      <c r="AO128" s="259" t="str">
        <f t="shared" si="21"/>
        <v/>
      </c>
      <c r="AP128" s="259" t="str">
        <f t="shared" si="21"/>
        <v/>
      </c>
      <c r="AQ128" s="259" t="str">
        <f t="shared" si="21"/>
        <v/>
      </c>
      <c r="AR128" s="259" t="str">
        <f t="shared" si="21"/>
        <v/>
      </c>
      <c r="AS128" s="259" t="str">
        <f t="shared" si="21"/>
        <v/>
      </c>
      <c r="AT128" s="259" t="str">
        <f t="shared" si="21"/>
        <v/>
      </c>
      <c r="AU128" s="259" t="str">
        <f t="shared" si="21"/>
        <v/>
      </c>
      <c r="AV128" s="259" t="str">
        <f t="shared" si="21"/>
        <v/>
      </c>
      <c r="AW128" s="259" t="str">
        <f t="shared" si="21"/>
        <v/>
      </c>
      <c r="AX128" s="259" t="str">
        <f t="shared" si="21"/>
        <v/>
      </c>
      <c r="AY128" s="259" t="str">
        <f t="shared" si="21"/>
        <v/>
      </c>
      <c r="AZ128" s="259" t="str">
        <f t="shared" si="21"/>
        <v/>
      </c>
      <c r="BA128" s="259" t="str">
        <f t="shared" si="21"/>
        <v/>
      </c>
      <c r="BB128" s="259" t="str">
        <f t="shared" si="21"/>
        <v/>
      </c>
      <c r="BC128" s="259" t="str">
        <f t="shared" si="21"/>
        <v/>
      </c>
      <c r="BD128" s="259" t="str">
        <f t="shared" si="21"/>
        <v/>
      </c>
      <c r="BE128" s="259" t="str">
        <f t="shared" si="21"/>
        <v/>
      </c>
      <c r="BF128" s="259" t="str">
        <f t="shared" si="21"/>
        <v/>
      </c>
      <c r="BG128" s="259" t="str">
        <f t="shared" si="21"/>
        <v/>
      </c>
      <c r="BH128" s="259" t="str">
        <f t="shared" si="21"/>
        <v/>
      </c>
      <c r="BI128" s="259" t="str">
        <f t="shared" si="21"/>
        <v/>
      </c>
      <c r="BJ128" s="259" t="str">
        <f t="shared" si="21"/>
        <v/>
      </c>
      <c r="BK128" s="259" t="str">
        <f t="shared" si="21"/>
        <v/>
      </c>
      <c r="BL128" s="259" t="str">
        <f t="shared" si="21"/>
        <v/>
      </c>
      <c r="BM128" s="260" t="str">
        <f t="shared" si="21"/>
        <v/>
      </c>
    </row>
    <row r="129" spans="2:65" s="198" customFormat="1" x14ac:dyDescent="0.25">
      <c r="B129" s="353" t="str">
        <f>B109</f>
        <v xml:space="preserve">Other Source </v>
      </c>
      <c r="C129" s="209"/>
      <c r="D129" s="212">
        <f>D109</f>
        <v>0</v>
      </c>
      <c r="E129" s="731">
        <f>IF(SUM(F129:BM129)=D129,1,0)</f>
        <v>1</v>
      </c>
      <c r="F129" s="259">
        <f>IF(F117=$E$109,$D$109,0)</f>
        <v>0</v>
      </c>
      <c r="G129" s="259">
        <f t="shared" ref="G129:AL129" si="22">IF(G117="","",IF(G117=$E$109,$D$109,0))</f>
        <v>0</v>
      </c>
      <c r="H129" s="259">
        <f t="shared" si="22"/>
        <v>0</v>
      </c>
      <c r="I129" s="259">
        <f t="shared" si="22"/>
        <v>0</v>
      </c>
      <c r="J129" s="259">
        <f t="shared" si="22"/>
        <v>0</v>
      </c>
      <c r="K129" s="259">
        <f t="shared" si="22"/>
        <v>0</v>
      </c>
      <c r="L129" s="259">
        <f t="shared" si="22"/>
        <v>0</v>
      </c>
      <c r="M129" s="259">
        <f t="shared" si="22"/>
        <v>0</v>
      </c>
      <c r="N129" s="259">
        <f t="shared" si="22"/>
        <v>0</v>
      </c>
      <c r="O129" s="259">
        <f t="shared" si="22"/>
        <v>0</v>
      </c>
      <c r="P129" s="259">
        <f t="shared" si="22"/>
        <v>0</v>
      </c>
      <c r="Q129" s="259">
        <f t="shared" si="22"/>
        <v>0</v>
      </c>
      <c r="R129" s="259">
        <f t="shared" si="22"/>
        <v>0</v>
      </c>
      <c r="S129" s="259">
        <f t="shared" si="22"/>
        <v>0</v>
      </c>
      <c r="T129" s="259">
        <f t="shared" si="22"/>
        <v>0</v>
      </c>
      <c r="U129" s="259">
        <f t="shared" si="22"/>
        <v>0</v>
      </c>
      <c r="V129" s="259">
        <f t="shared" si="22"/>
        <v>0</v>
      </c>
      <c r="W129" s="259">
        <f t="shared" si="22"/>
        <v>0</v>
      </c>
      <c r="X129" s="259">
        <f t="shared" si="22"/>
        <v>0</v>
      </c>
      <c r="Y129" s="259">
        <f t="shared" si="22"/>
        <v>0</v>
      </c>
      <c r="Z129" s="259">
        <f t="shared" si="22"/>
        <v>0</v>
      </c>
      <c r="AA129" s="259">
        <f t="shared" si="22"/>
        <v>0</v>
      </c>
      <c r="AB129" s="259">
        <f t="shared" si="22"/>
        <v>0</v>
      </c>
      <c r="AC129" s="259">
        <f t="shared" si="22"/>
        <v>0</v>
      </c>
      <c r="AD129" s="259">
        <f t="shared" si="22"/>
        <v>0</v>
      </c>
      <c r="AE129" s="259">
        <f t="shared" si="22"/>
        <v>0</v>
      </c>
      <c r="AF129" s="259" t="str">
        <f t="shared" si="22"/>
        <v/>
      </c>
      <c r="AG129" s="259" t="str">
        <f t="shared" si="22"/>
        <v/>
      </c>
      <c r="AH129" s="259" t="str">
        <f t="shared" si="22"/>
        <v/>
      </c>
      <c r="AI129" s="259" t="str">
        <f t="shared" si="22"/>
        <v/>
      </c>
      <c r="AJ129" s="259" t="str">
        <f t="shared" si="22"/>
        <v/>
      </c>
      <c r="AK129" s="259" t="str">
        <f t="shared" si="22"/>
        <v/>
      </c>
      <c r="AL129" s="259" t="str">
        <f t="shared" si="22"/>
        <v/>
      </c>
      <c r="AM129" s="259" t="str">
        <f t="shared" ref="AM129:BM129" si="23">IF(AM117="","",IF(AM117=$E$109,$D$109,0))</f>
        <v/>
      </c>
      <c r="AN129" s="259" t="str">
        <f t="shared" si="23"/>
        <v/>
      </c>
      <c r="AO129" s="259" t="str">
        <f t="shared" si="23"/>
        <v/>
      </c>
      <c r="AP129" s="259" t="str">
        <f t="shared" si="23"/>
        <v/>
      </c>
      <c r="AQ129" s="259" t="str">
        <f t="shared" si="23"/>
        <v/>
      </c>
      <c r="AR129" s="259" t="str">
        <f t="shared" si="23"/>
        <v/>
      </c>
      <c r="AS129" s="259" t="str">
        <f t="shared" si="23"/>
        <v/>
      </c>
      <c r="AT129" s="259" t="str">
        <f t="shared" si="23"/>
        <v/>
      </c>
      <c r="AU129" s="259" t="str">
        <f t="shared" si="23"/>
        <v/>
      </c>
      <c r="AV129" s="259" t="str">
        <f t="shared" si="23"/>
        <v/>
      </c>
      <c r="AW129" s="259" t="str">
        <f t="shared" si="23"/>
        <v/>
      </c>
      <c r="AX129" s="259" t="str">
        <f t="shared" si="23"/>
        <v/>
      </c>
      <c r="AY129" s="259" t="str">
        <f t="shared" si="23"/>
        <v/>
      </c>
      <c r="AZ129" s="259" t="str">
        <f t="shared" si="23"/>
        <v/>
      </c>
      <c r="BA129" s="259" t="str">
        <f t="shared" si="23"/>
        <v/>
      </c>
      <c r="BB129" s="259" t="str">
        <f t="shared" si="23"/>
        <v/>
      </c>
      <c r="BC129" s="259" t="str">
        <f t="shared" si="23"/>
        <v/>
      </c>
      <c r="BD129" s="259" t="str">
        <f t="shared" si="23"/>
        <v/>
      </c>
      <c r="BE129" s="259" t="str">
        <f t="shared" si="23"/>
        <v/>
      </c>
      <c r="BF129" s="259" t="str">
        <f t="shared" si="23"/>
        <v/>
      </c>
      <c r="BG129" s="259" t="str">
        <f t="shared" si="23"/>
        <v/>
      </c>
      <c r="BH129" s="259" t="str">
        <f t="shared" si="23"/>
        <v/>
      </c>
      <c r="BI129" s="259" t="str">
        <f t="shared" si="23"/>
        <v/>
      </c>
      <c r="BJ129" s="259" t="str">
        <f t="shared" si="23"/>
        <v/>
      </c>
      <c r="BK129" s="259" t="str">
        <f t="shared" si="23"/>
        <v/>
      </c>
      <c r="BL129" s="259" t="str">
        <f t="shared" si="23"/>
        <v/>
      </c>
      <c r="BM129" s="260" t="str">
        <f t="shared" si="23"/>
        <v/>
      </c>
    </row>
    <row r="130" spans="2:65" s="198" customFormat="1" x14ac:dyDescent="0.25">
      <c r="B130" s="353" t="str">
        <f>B110</f>
        <v xml:space="preserve">Other Source </v>
      </c>
      <c r="C130" s="209"/>
      <c r="D130" s="212">
        <f>D110</f>
        <v>0</v>
      </c>
      <c r="E130" s="731">
        <f>IF(SUM(F130:BM130)=D130,1,0)</f>
        <v>1</v>
      </c>
      <c r="F130" s="259">
        <f>IF(F117=$E$110,$D$110,0)</f>
        <v>0</v>
      </c>
      <c r="G130" s="259">
        <f t="shared" ref="G130:AL130" si="24">IF(G117="","",IF(G117=$E$110,$D$110,0))</f>
        <v>0</v>
      </c>
      <c r="H130" s="259">
        <f t="shared" si="24"/>
        <v>0</v>
      </c>
      <c r="I130" s="259">
        <f t="shared" si="24"/>
        <v>0</v>
      </c>
      <c r="J130" s="259">
        <f t="shared" si="24"/>
        <v>0</v>
      </c>
      <c r="K130" s="259">
        <f t="shared" si="24"/>
        <v>0</v>
      </c>
      <c r="L130" s="259">
        <f t="shared" si="24"/>
        <v>0</v>
      </c>
      <c r="M130" s="259">
        <f t="shared" si="24"/>
        <v>0</v>
      </c>
      <c r="N130" s="259">
        <f t="shared" si="24"/>
        <v>0</v>
      </c>
      <c r="O130" s="259">
        <f t="shared" si="24"/>
        <v>0</v>
      </c>
      <c r="P130" s="259">
        <f t="shared" si="24"/>
        <v>0</v>
      </c>
      <c r="Q130" s="259">
        <f t="shared" si="24"/>
        <v>0</v>
      </c>
      <c r="R130" s="259">
        <f t="shared" si="24"/>
        <v>0</v>
      </c>
      <c r="S130" s="259">
        <f t="shared" si="24"/>
        <v>0</v>
      </c>
      <c r="T130" s="259">
        <f t="shared" si="24"/>
        <v>0</v>
      </c>
      <c r="U130" s="259">
        <f t="shared" si="24"/>
        <v>0</v>
      </c>
      <c r="V130" s="259">
        <f t="shared" si="24"/>
        <v>0</v>
      </c>
      <c r="W130" s="259">
        <f t="shared" si="24"/>
        <v>0</v>
      </c>
      <c r="X130" s="259">
        <f t="shared" si="24"/>
        <v>0</v>
      </c>
      <c r="Y130" s="259">
        <f t="shared" si="24"/>
        <v>0</v>
      </c>
      <c r="Z130" s="259">
        <f t="shared" si="24"/>
        <v>0</v>
      </c>
      <c r="AA130" s="259">
        <f t="shared" si="24"/>
        <v>0</v>
      </c>
      <c r="AB130" s="259">
        <f t="shared" si="24"/>
        <v>0</v>
      </c>
      <c r="AC130" s="259">
        <f t="shared" si="24"/>
        <v>0</v>
      </c>
      <c r="AD130" s="259">
        <f t="shared" si="24"/>
        <v>0</v>
      </c>
      <c r="AE130" s="259">
        <f t="shared" si="24"/>
        <v>0</v>
      </c>
      <c r="AF130" s="259" t="str">
        <f t="shared" si="24"/>
        <v/>
      </c>
      <c r="AG130" s="259" t="str">
        <f t="shared" si="24"/>
        <v/>
      </c>
      <c r="AH130" s="259" t="str">
        <f t="shared" si="24"/>
        <v/>
      </c>
      <c r="AI130" s="259" t="str">
        <f t="shared" si="24"/>
        <v/>
      </c>
      <c r="AJ130" s="259" t="str">
        <f t="shared" si="24"/>
        <v/>
      </c>
      <c r="AK130" s="259" t="str">
        <f t="shared" si="24"/>
        <v/>
      </c>
      <c r="AL130" s="259" t="str">
        <f t="shared" si="24"/>
        <v/>
      </c>
      <c r="AM130" s="259" t="str">
        <f t="shared" ref="AM130:BM130" si="25">IF(AM117="","",IF(AM117=$E$110,$D$110,0))</f>
        <v/>
      </c>
      <c r="AN130" s="259" t="str">
        <f t="shared" si="25"/>
        <v/>
      </c>
      <c r="AO130" s="259" t="str">
        <f t="shared" si="25"/>
        <v/>
      </c>
      <c r="AP130" s="259" t="str">
        <f t="shared" si="25"/>
        <v/>
      </c>
      <c r="AQ130" s="259" t="str">
        <f t="shared" si="25"/>
        <v/>
      </c>
      <c r="AR130" s="259" t="str">
        <f t="shared" si="25"/>
        <v/>
      </c>
      <c r="AS130" s="259" t="str">
        <f t="shared" si="25"/>
        <v/>
      </c>
      <c r="AT130" s="259" t="str">
        <f t="shared" si="25"/>
        <v/>
      </c>
      <c r="AU130" s="259" t="str">
        <f t="shared" si="25"/>
        <v/>
      </c>
      <c r="AV130" s="259" t="str">
        <f t="shared" si="25"/>
        <v/>
      </c>
      <c r="AW130" s="259" t="str">
        <f t="shared" si="25"/>
        <v/>
      </c>
      <c r="AX130" s="259" t="str">
        <f t="shared" si="25"/>
        <v/>
      </c>
      <c r="AY130" s="259" t="str">
        <f t="shared" si="25"/>
        <v/>
      </c>
      <c r="AZ130" s="259" t="str">
        <f t="shared" si="25"/>
        <v/>
      </c>
      <c r="BA130" s="259" t="str">
        <f t="shared" si="25"/>
        <v/>
      </c>
      <c r="BB130" s="259" t="str">
        <f t="shared" si="25"/>
        <v/>
      </c>
      <c r="BC130" s="259" t="str">
        <f t="shared" si="25"/>
        <v/>
      </c>
      <c r="BD130" s="259" t="str">
        <f t="shared" si="25"/>
        <v/>
      </c>
      <c r="BE130" s="259" t="str">
        <f t="shared" si="25"/>
        <v/>
      </c>
      <c r="BF130" s="259" t="str">
        <f t="shared" si="25"/>
        <v/>
      </c>
      <c r="BG130" s="259" t="str">
        <f t="shared" si="25"/>
        <v/>
      </c>
      <c r="BH130" s="259" t="str">
        <f t="shared" si="25"/>
        <v/>
      </c>
      <c r="BI130" s="259" t="str">
        <f t="shared" si="25"/>
        <v/>
      </c>
      <c r="BJ130" s="259" t="str">
        <f t="shared" si="25"/>
        <v/>
      </c>
      <c r="BK130" s="259" t="str">
        <f t="shared" si="25"/>
        <v/>
      </c>
      <c r="BL130" s="259" t="str">
        <f t="shared" si="25"/>
        <v/>
      </c>
      <c r="BM130" s="260" t="str">
        <f t="shared" si="25"/>
        <v/>
      </c>
    </row>
    <row r="131" spans="2:65" s="198" customFormat="1" x14ac:dyDescent="0.25">
      <c r="B131" s="261" t="s">
        <v>399</v>
      </c>
      <c r="C131" s="209"/>
      <c r="D131" s="212"/>
      <c r="E131" s="731"/>
      <c r="F131" s="259">
        <f>SUM(F126:F130)</f>
        <v>0</v>
      </c>
      <c r="G131" s="259">
        <f>IF(G117="","",SUM(G126:G130))</f>
        <v>0</v>
      </c>
      <c r="H131" s="259">
        <f t="shared" ref="H131:BM131" si="26">IF(H117="","",SUM(H126:H130))</f>
        <v>0</v>
      </c>
      <c r="I131" s="259">
        <f t="shared" si="26"/>
        <v>0</v>
      </c>
      <c r="J131" s="259">
        <f t="shared" si="26"/>
        <v>0</v>
      </c>
      <c r="K131" s="259">
        <f t="shared" si="26"/>
        <v>0</v>
      </c>
      <c r="L131" s="259">
        <f t="shared" si="26"/>
        <v>0</v>
      </c>
      <c r="M131" s="259">
        <f t="shared" si="26"/>
        <v>0</v>
      </c>
      <c r="N131" s="259">
        <f t="shared" si="26"/>
        <v>0</v>
      </c>
      <c r="O131" s="259">
        <f t="shared" si="26"/>
        <v>0</v>
      </c>
      <c r="P131" s="259">
        <f t="shared" si="26"/>
        <v>0</v>
      </c>
      <c r="Q131" s="259">
        <f t="shared" si="26"/>
        <v>0</v>
      </c>
      <c r="R131" s="259">
        <f t="shared" si="26"/>
        <v>0</v>
      </c>
      <c r="S131" s="259">
        <f t="shared" si="26"/>
        <v>0</v>
      </c>
      <c r="T131" s="259">
        <f t="shared" si="26"/>
        <v>0</v>
      </c>
      <c r="U131" s="259">
        <f t="shared" si="26"/>
        <v>0</v>
      </c>
      <c r="V131" s="259">
        <f t="shared" si="26"/>
        <v>0</v>
      </c>
      <c r="W131" s="259">
        <f t="shared" si="26"/>
        <v>0</v>
      </c>
      <c r="X131" s="259">
        <f t="shared" si="26"/>
        <v>0</v>
      </c>
      <c r="Y131" s="259">
        <f t="shared" si="26"/>
        <v>0</v>
      </c>
      <c r="Z131" s="259">
        <f t="shared" si="26"/>
        <v>0</v>
      </c>
      <c r="AA131" s="259">
        <f t="shared" si="26"/>
        <v>0</v>
      </c>
      <c r="AB131" s="259">
        <f t="shared" si="26"/>
        <v>0</v>
      </c>
      <c r="AC131" s="259">
        <f t="shared" si="26"/>
        <v>0</v>
      </c>
      <c r="AD131" s="259">
        <f t="shared" si="26"/>
        <v>0</v>
      </c>
      <c r="AE131" s="259">
        <f t="shared" si="26"/>
        <v>0</v>
      </c>
      <c r="AF131" s="259" t="str">
        <f t="shared" si="26"/>
        <v/>
      </c>
      <c r="AG131" s="259" t="str">
        <f t="shared" si="26"/>
        <v/>
      </c>
      <c r="AH131" s="259" t="str">
        <f t="shared" si="26"/>
        <v/>
      </c>
      <c r="AI131" s="259" t="str">
        <f t="shared" si="26"/>
        <v/>
      </c>
      <c r="AJ131" s="259" t="str">
        <f t="shared" si="26"/>
        <v/>
      </c>
      <c r="AK131" s="259" t="str">
        <f t="shared" si="26"/>
        <v/>
      </c>
      <c r="AL131" s="259" t="str">
        <f t="shared" si="26"/>
        <v/>
      </c>
      <c r="AM131" s="259" t="str">
        <f t="shared" si="26"/>
        <v/>
      </c>
      <c r="AN131" s="259" t="str">
        <f t="shared" si="26"/>
        <v/>
      </c>
      <c r="AO131" s="259" t="str">
        <f t="shared" si="26"/>
        <v/>
      </c>
      <c r="AP131" s="259" t="str">
        <f t="shared" si="26"/>
        <v/>
      </c>
      <c r="AQ131" s="259" t="str">
        <f t="shared" si="26"/>
        <v/>
      </c>
      <c r="AR131" s="259" t="str">
        <f t="shared" si="26"/>
        <v/>
      </c>
      <c r="AS131" s="259" t="str">
        <f t="shared" si="26"/>
        <v/>
      </c>
      <c r="AT131" s="259" t="str">
        <f t="shared" si="26"/>
        <v/>
      </c>
      <c r="AU131" s="259" t="str">
        <f t="shared" si="26"/>
        <v/>
      </c>
      <c r="AV131" s="259" t="str">
        <f t="shared" si="26"/>
        <v/>
      </c>
      <c r="AW131" s="259" t="str">
        <f t="shared" si="26"/>
        <v/>
      </c>
      <c r="AX131" s="259" t="str">
        <f t="shared" si="26"/>
        <v/>
      </c>
      <c r="AY131" s="259" t="str">
        <f t="shared" si="26"/>
        <v/>
      </c>
      <c r="AZ131" s="259" t="str">
        <f t="shared" si="26"/>
        <v/>
      </c>
      <c r="BA131" s="259" t="str">
        <f t="shared" si="26"/>
        <v/>
      </c>
      <c r="BB131" s="259" t="str">
        <f t="shared" si="26"/>
        <v/>
      </c>
      <c r="BC131" s="259" t="str">
        <f t="shared" si="26"/>
        <v/>
      </c>
      <c r="BD131" s="259" t="str">
        <f t="shared" si="26"/>
        <v/>
      </c>
      <c r="BE131" s="259" t="str">
        <f t="shared" si="26"/>
        <v/>
      </c>
      <c r="BF131" s="259" t="str">
        <f t="shared" si="26"/>
        <v/>
      </c>
      <c r="BG131" s="259" t="str">
        <f t="shared" si="26"/>
        <v/>
      </c>
      <c r="BH131" s="259" t="str">
        <f t="shared" si="26"/>
        <v/>
      </c>
      <c r="BI131" s="259" t="str">
        <f t="shared" si="26"/>
        <v/>
      </c>
      <c r="BJ131" s="259" t="str">
        <f t="shared" si="26"/>
        <v/>
      </c>
      <c r="BK131" s="259" t="str">
        <f t="shared" si="26"/>
        <v/>
      </c>
      <c r="BL131" s="259" t="str">
        <f t="shared" si="26"/>
        <v/>
      </c>
      <c r="BM131" s="260" t="str">
        <f t="shared" si="26"/>
        <v/>
      </c>
    </row>
    <row r="132" spans="2:65" s="198" customFormat="1" x14ac:dyDescent="0.25">
      <c r="B132" s="267" t="s">
        <v>63</v>
      </c>
      <c r="C132" s="263"/>
      <c r="D132" s="201"/>
      <c r="E132" s="265"/>
      <c r="F132" s="262">
        <f>F131+F124</f>
        <v>926932.49999999988</v>
      </c>
      <c r="G132" s="262">
        <f>IF(G117="","",G124+G131)</f>
        <v>0</v>
      </c>
      <c r="H132" s="262">
        <f t="shared" ref="H132:BM132" si="27">IF(H117="","",H124+H131)</f>
        <v>0</v>
      </c>
      <c r="I132" s="262">
        <f t="shared" si="27"/>
        <v>0</v>
      </c>
      <c r="J132" s="262">
        <f t="shared" si="27"/>
        <v>0</v>
      </c>
      <c r="K132" s="262">
        <f t="shared" si="27"/>
        <v>0</v>
      </c>
      <c r="L132" s="262">
        <f t="shared" si="27"/>
        <v>0</v>
      </c>
      <c r="M132" s="262">
        <f t="shared" si="27"/>
        <v>0</v>
      </c>
      <c r="N132" s="262">
        <f t="shared" si="27"/>
        <v>0</v>
      </c>
      <c r="O132" s="262">
        <f t="shared" si="27"/>
        <v>0</v>
      </c>
      <c r="P132" s="262">
        <f t="shared" si="27"/>
        <v>0</v>
      </c>
      <c r="Q132" s="262">
        <f t="shared" si="27"/>
        <v>0</v>
      </c>
      <c r="R132" s="262">
        <f t="shared" si="27"/>
        <v>0</v>
      </c>
      <c r="S132" s="262">
        <f t="shared" si="27"/>
        <v>0</v>
      </c>
      <c r="T132" s="262">
        <f t="shared" si="27"/>
        <v>0</v>
      </c>
      <c r="U132" s="262">
        <f t="shared" si="27"/>
        <v>0</v>
      </c>
      <c r="V132" s="262">
        <f t="shared" si="27"/>
        <v>84431.874999999985</v>
      </c>
      <c r="W132" s="262">
        <f t="shared" si="27"/>
        <v>489792.08333333326</v>
      </c>
      <c r="X132" s="262">
        <f t="shared" si="27"/>
        <v>0</v>
      </c>
      <c r="Y132" s="262">
        <f t="shared" si="27"/>
        <v>0</v>
      </c>
      <c r="Z132" s="262">
        <f t="shared" si="27"/>
        <v>502954.99999999994</v>
      </c>
      <c r="AA132" s="262">
        <f t="shared" si="27"/>
        <v>0</v>
      </c>
      <c r="AB132" s="262">
        <f t="shared" si="27"/>
        <v>0</v>
      </c>
      <c r="AC132" s="262">
        <f t="shared" si="27"/>
        <v>465284.37499999994</v>
      </c>
      <c r="AD132" s="262">
        <f t="shared" si="27"/>
        <v>620379.16666666674</v>
      </c>
      <c r="AE132" s="262">
        <f t="shared" si="27"/>
        <v>0</v>
      </c>
      <c r="AF132" s="262" t="str">
        <f t="shared" si="27"/>
        <v/>
      </c>
      <c r="AG132" s="262" t="str">
        <f t="shared" si="27"/>
        <v/>
      </c>
      <c r="AH132" s="262" t="str">
        <f t="shared" si="27"/>
        <v/>
      </c>
      <c r="AI132" s="262" t="str">
        <f t="shared" si="27"/>
        <v/>
      </c>
      <c r="AJ132" s="262" t="str">
        <f t="shared" si="27"/>
        <v/>
      </c>
      <c r="AK132" s="262" t="str">
        <f t="shared" si="27"/>
        <v/>
      </c>
      <c r="AL132" s="262" t="str">
        <f t="shared" si="27"/>
        <v/>
      </c>
      <c r="AM132" s="262" t="str">
        <f t="shared" si="27"/>
        <v/>
      </c>
      <c r="AN132" s="262" t="str">
        <f t="shared" si="27"/>
        <v/>
      </c>
      <c r="AO132" s="262" t="str">
        <f t="shared" si="27"/>
        <v/>
      </c>
      <c r="AP132" s="262" t="str">
        <f t="shared" si="27"/>
        <v/>
      </c>
      <c r="AQ132" s="262" t="str">
        <f t="shared" si="27"/>
        <v/>
      </c>
      <c r="AR132" s="262" t="str">
        <f t="shared" si="27"/>
        <v/>
      </c>
      <c r="AS132" s="262" t="str">
        <f t="shared" si="27"/>
        <v/>
      </c>
      <c r="AT132" s="262" t="str">
        <f t="shared" si="27"/>
        <v/>
      </c>
      <c r="AU132" s="262" t="str">
        <f t="shared" si="27"/>
        <v/>
      </c>
      <c r="AV132" s="262" t="str">
        <f t="shared" si="27"/>
        <v/>
      </c>
      <c r="AW132" s="262" t="str">
        <f t="shared" si="27"/>
        <v/>
      </c>
      <c r="AX132" s="262" t="str">
        <f t="shared" si="27"/>
        <v/>
      </c>
      <c r="AY132" s="262" t="str">
        <f t="shared" si="27"/>
        <v/>
      </c>
      <c r="AZ132" s="262" t="str">
        <f t="shared" si="27"/>
        <v/>
      </c>
      <c r="BA132" s="262" t="str">
        <f t="shared" si="27"/>
        <v/>
      </c>
      <c r="BB132" s="262" t="str">
        <f t="shared" si="27"/>
        <v/>
      </c>
      <c r="BC132" s="262" t="str">
        <f t="shared" si="27"/>
        <v/>
      </c>
      <c r="BD132" s="262" t="str">
        <f t="shared" si="27"/>
        <v/>
      </c>
      <c r="BE132" s="262" t="str">
        <f t="shared" si="27"/>
        <v/>
      </c>
      <c r="BF132" s="262" t="str">
        <f t="shared" si="27"/>
        <v/>
      </c>
      <c r="BG132" s="262" t="str">
        <f t="shared" si="27"/>
        <v/>
      </c>
      <c r="BH132" s="262" t="str">
        <f t="shared" si="27"/>
        <v/>
      </c>
      <c r="BI132" s="262" t="str">
        <f t="shared" si="27"/>
        <v/>
      </c>
      <c r="BJ132" s="262" t="str">
        <f t="shared" si="27"/>
        <v/>
      </c>
      <c r="BK132" s="262" t="str">
        <f t="shared" si="27"/>
        <v/>
      </c>
      <c r="BL132" s="262" t="str">
        <f t="shared" si="27"/>
        <v/>
      </c>
      <c r="BM132" s="264" t="str">
        <f t="shared" si="27"/>
        <v/>
      </c>
    </row>
    <row r="133" spans="2:65" s="198" customFormat="1" x14ac:dyDescent="0.25">
      <c r="B133" s="531" t="s">
        <v>400</v>
      </c>
      <c r="C133" s="532"/>
      <c r="D133" s="735"/>
      <c r="E133" s="735"/>
      <c r="F133" s="735"/>
      <c r="G133" s="735"/>
      <c r="H133" s="735"/>
      <c r="I133" s="735"/>
      <c r="J133" s="735"/>
      <c r="K133" s="735"/>
      <c r="L133" s="735"/>
      <c r="M133" s="735"/>
      <c r="N133" s="735"/>
      <c r="O133" s="735"/>
      <c r="P133" s="735"/>
      <c r="Q133" s="735"/>
      <c r="R133" s="735"/>
      <c r="S133" s="735"/>
      <c r="T133" s="735"/>
      <c r="U133" s="735"/>
      <c r="V133" s="735"/>
      <c r="W133" s="735"/>
      <c r="X133" s="735"/>
      <c r="Y133" s="735"/>
      <c r="Z133" s="735"/>
      <c r="AA133" s="735"/>
      <c r="AB133" s="735"/>
      <c r="AC133" s="735"/>
      <c r="AD133" s="735"/>
      <c r="AE133" s="735"/>
      <c r="AF133" s="735"/>
      <c r="AG133" s="735"/>
      <c r="AH133" s="735"/>
      <c r="AI133" s="735"/>
      <c r="AJ133" s="735"/>
      <c r="AK133" s="735"/>
      <c r="AL133" s="735"/>
      <c r="AM133" s="735"/>
      <c r="AN133" s="735"/>
      <c r="AO133" s="735"/>
      <c r="AP133" s="735"/>
      <c r="AQ133" s="735"/>
      <c r="AR133" s="735"/>
      <c r="AS133" s="735"/>
      <c r="AT133" s="735"/>
      <c r="AU133" s="735"/>
      <c r="AV133" s="735"/>
      <c r="AW133" s="735"/>
      <c r="AX133" s="735"/>
      <c r="AY133" s="735"/>
      <c r="AZ133" s="735"/>
      <c r="BA133" s="735"/>
      <c r="BB133" s="735"/>
      <c r="BC133" s="735"/>
      <c r="BD133" s="735"/>
      <c r="BE133" s="735"/>
      <c r="BF133" s="735"/>
      <c r="BG133" s="735"/>
      <c r="BH133" s="735"/>
      <c r="BI133" s="735"/>
      <c r="BJ133" s="735"/>
      <c r="BK133" s="735"/>
      <c r="BL133" s="735"/>
      <c r="BM133" s="17"/>
    </row>
    <row r="134" spans="2:65" s="198" customFormat="1" x14ac:dyDescent="0.25">
      <c r="B134" s="256" t="s">
        <v>220</v>
      </c>
      <c r="C134" s="158"/>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59"/>
      <c r="BF134" s="159"/>
      <c r="BG134" s="159"/>
      <c r="BH134" s="159"/>
      <c r="BI134" s="159"/>
      <c r="BJ134" s="159"/>
      <c r="BK134" s="159"/>
      <c r="BL134" s="159"/>
      <c r="BM134" s="55"/>
    </row>
    <row r="135" spans="2:65" s="198" customFormat="1" x14ac:dyDescent="0.25">
      <c r="B135" s="353" t="str">
        <f>B55</f>
        <v xml:space="preserve">Settlement of Land Purchase </v>
      </c>
      <c r="C135" s="736"/>
      <c r="D135" s="212">
        <f>'Detailed Feasibility Inputs'!F56</f>
        <v>1010000</v>
      </c>
      <c r="E135" s="736">
        <f>IF(SUM(F135:BM135)=D135,1,0)</f>
        <v>1</v>
      </c>
      <c r="F135" s="259">
        <f>IF(F117='Detailed Feasibility'!$C$55,'Detailed Feasibility Inputs'!$F$56,0)</f>
        <v>1010000</v>
      </c>
      <c r="G135" s="259">
        <f>IF(G$117="","",IF(G$117="","",IF(G117='Detailed Feasibility'!$C$55,'Detailed Feasibility Inputs'!$F$56,0)))</f>
        <v>0</v>
      </c>
      <c r="H135" s="259">
        <f>IF(H$117="","",IF(H$117="","",IF(H117='Detailed Feasibility'!$C$55,'Detailed Feasibility Inputs'!$F$56,0)))</f>
        <v>0</v>
      </c>
      <c r="I135" s="259">
        <f>IF(I$117="","",IF(I$117="","",IF(I117='Detailed Feasibility'!$C$55,'Detailed Feasibility Inputs'!$F$56,0)))</f>
        <v>0</v>
      </c>
      <c r="J135" s="259">
        <f>IF(J$117="","",IF(J$117="","",IF(J117='Detailed Feasibility'!$C$55,'Detailed Feasibility Inputs'!$F$56,0)))</f>
        <v>0</v>
      </c>
      <c r="K135" s="259">
        <f>IF(K$117="","",IF(K$117="","",IF(K117='Detailed Feasibility'!$C$55,'Detailed Feasibility Inputs'!$F$56,0)))</f>
        <v>0</v>
      </c>
      <c r="L135" s="259">
        <f>IF(L$117="","",IF(L$117="","",IF(L117='Detailed Feasibility'!$C$55,'Detailed Feasibility Inputs'!$F$56,0)))</f>
        <v>0</v>
      </c>
      <c r="M135" s="259">
        <f>IF(M$117="","",IF(M$117="","",IF(M117='Detailed Feasibility'!$C$55,'Detailed Feasibility Inputs'!$F$56,0)))</f>
        <v>0</v>
      </c>
      <c r="N135" s="259">
        <f>IF(N$117="","",IF(N$117="","",IF(N117='Detailed Feasibility'!$C$55,'Detailed Feasibility Inputs'!$F$56,0)))</f>
        <v>0</v>
      </c>
      <c r="O135" s="259">
        <f>IF(O$117="","",IF(O$117="","",IF(O117='Detailed Feasibility'!$C$55,'Detailed Feasibility Inputs'!$F$56,0)))</f>
        <v>0</v>
      </c>
      <c r="P135" s="259">
        <f>IF(P$117="","",IF(P$117="","",IF(P117='Detailed Feasibility'!$C$55,'Detailed Feasibility Inputs'!$F$56,0)))</f>
        <v>0</v>
      </c>
      <c r="Q135" s="259">
        <f>IF(Q$117="","",IF(Q$117="","",IF(Q117='Detailed Feasibility'!$C$55,'Detailed Feasibility Inputs'!$F$56,0)))</f>
        <v>0</v>
      </c>
      <c r="R135" s="259">
        <f>IF(R$117="","",IF(R$117="","",IF(R117='Detailed Feasibility'!$C$55,'Detailed Feasibility Inputs'!$F$56,0)))</f>
        <v>0</v>
      </c>
      <c r="S135" s="259">
        <f>IF(S$117="","",IF(S$117="","",IF(S117='Detailed Feasibility'!$C$55,'Detailed Feasibility Inputs'!$F$56,0)))</f>
        <v>0</v>
      </c>
      <c r="T135" s="259">
        <f>IF(T$117="","",IF(T$117="","",IF(T117='Detailed Feasibility'!$C$55,'Detailed Feasibility Inputs'!$F$56,0)))</f>
        <v>0</v>
      </c>
      <c r="U135" s="259">
        <f>IF(U$117="","",IF(U$117="","",IF(U117='Detailed Feasibility'!$C$55,'Detailed Feasibility Inputs'!$F$56,0)))</f>
        <v>0</v>
      </c>
      <c r="V135" s="259">
        <f>IF(V$117="","",IF(V$117="","",IF(V117='Detailed Feasibility'!$C$55,'Detailed Feasibility Inputs'!$F$56,0)))</f>
        <v>0</v>
      </c>
      <c r="W135" s="259">
        <f>IF(W$117="","",IF(W$117="","",IF(W117='Detailed Feasibility'!$C$55,'Detailed Feasibility Inputs'!$F$56,0)))</f>
        <v>0</v>
      </c>
      <c r="X135" s="259">
        <f>IF(X$117="","",IF(X$117="","",IF(X117='Detailed Feasibility'!$C$55,'Detailed Feasibility Inputs'!$F$56,0)))</f>
        <v>0</v>
      </c>
      <c r="Y135" s="259">
        <f>IF(Y$117="","",IF(Y$117="","",IF(Y117='Detailed Feasibility'!$C$55,'Detailed Feasibility Inputs'!$F$56,0)))</f>
        <v>0</v>
      </c>
      <c r="Z135" s="259">
        <f>IF(Z$117="","",IF(Z$117="","",IF(Z117='Detailed Feasibility'!$C$55,'Detailed Feasibility Inputs'!$F$56,0)))</f>
        <v>0</v>
      </c>
      <c r="AA135" s="259">
        <f>IF(AA$117="","",IF(AA$117="","",IF(AA117='Detailed Feasibility'!$C$55,'Detailed Feasibility Inputs'!$F$56,0)))</f>
        <v>0</v>
      </c>
      <c r="AB135" s="259">
        <f>IF(AB$117="","",IF(AB$117="","",IF(AB117='Detailed Feasibility'!$C$55,'Detailed Feasibility Inputs'!$F$56,0)))</f>
        <v>0</v>
      </c>
      <c r="AC135" s="259">
        <f>IF(AC$117="","",IF(AC$117="","",IF(AC117='Detailed Feasibility'!$C$55,'Detailed Feasibility Inputs'!$F$56,0)))</f>
        <v>0</v>
      </c>
      <c r="AD135" s="259">
        <f>IF(AD$117="","",IF(AD$117="","",IF(AD117='Detailed Feasibility'!$C$55,'Detailed Feasibility Inputs'!$F$56,0)))</f>
        <v>0</v>
      </c>
      <c r="AE135" s="259">
        <f>IF(AE$117="","",IF(AE$117="","",IF(AE117='Detailed Feasibility'!$C$55,'Detailed Feasibility Inputs'!$F$56,0)))</f>
        <v>0</v>
      </c>
      <c r="AF135" s="259" t="str">
        <f>IF(AF$117="","",IF(AF$117="","",IF(AF117='Detailed Feasibility'!$C$55,'Detailed Feasibility Inputs'!$F$56,0)))</f>
        <v/>
      </c>
      <c r="AG135" s="259" t="str">
        <f>IF(AG$117="","",IF(AG$117="","",IF(AG117='Detailed Feasibility'!$C$55,'Detailed Feasibility Inputs'!$F$56,0)))</f>
        <v/>
      </c>
      <c r="AH135" s="259" t="str">
        <f>IF(AH$117="","",IF(AH$117="","",IF(AH117='Detailed Feasibility'!$C$55,'Detailed Feasibility Inputs'!$F$56,0)))</f>
        <v/>
      </c>
      <c r="AI135" s="259" t="str">
        <f>IF(AI$117="","",IF(AI$117="","",IF(AI117='Detailed Feasibility'!$C$55,'Detailed Feasibility Inputs'!$F$56,0)))</f>
        <v/>
      </c>
      <c r="AJ135" s="259" t="str">
        <f>IF(AJ$117="","",IF(AJ$117="","",IF(AJ117='Detailed Feasibility'!$C$55,'Detailed Feasibility Inputs'!$F$56,0)))</f>
        <v/>
      </c>
      <c r="AK135" s="259" t="str">
        <f>IF(AK$117="","",IF(AK$117="","",IF(AK117='Detailed Feasibility'!$C$55,'Detailed Feasibility Inputs'!$F$56,0)))</f>
        <v/>
      </c>
      <c r="AL135" s="259" t="str">
        <f>IF(AL$117="","",IF(AL$117="","",IF(AL117='Detailed Feasibility'!$C$55,'Detailed Feasibility Inputs'!$F$56,0)))</f>
        <v/>
      </c>
      <c r="AM135" s="259" t="str">
        <f>IF(AM$117="","",IF(AM$117="","",IF(AM117='Detailed Feasibility'!$C$55,'Detailed Feasibility Inputs'!$F$56,0)))</f>
        <v/>
      </c>
      <c r="AN135" s="259" t="str">
        <f>IF(AN$117="","",IF(AN$117="","",IF(AN117='Detailed Feasibility'!$C$55,'Detailed Feasibility Inputs'!$F$56,0)))</f>
        <v/>
      </c>
      <c r="AO135" s="259" t="str">
        <f>IF(AO$117="","",IF(AO$117="","",IF(AO117='Detailed Feasibility'!$C$55,'Detailed Feasibility Inputs'!$F$56,0)))</f>
        <v/>
      </c>
      <c r="AP135" s="259" t="str">
        <f>IF(AP$117="","",IF(AP$117="","",IF(AP117='Detailed Feasibility'!$C$55,'Detailed Feasibility Inputs'!$F$56,0)))</f>
        <v/>
      </c>
      <c r="AQ135" s="259" t="str">
        <f>IF(AQ$117="","",IF(AQ$117="","",IF(AQ117='Detailed Feasibility'!$C$55,'Detailed Feasibility Inputs'!$F$56,0)))</f>
        <v/>
      </c>
      <c r="AR135" s="259" t="str">
        <f>IF(AR$117="","",IF(AR$117="","",IF(AR117='Detailed Feasibility'!$C$55,'Detailed Feasibility Inputs'!$F$56,0)))</f>
        <v/>
      </c>
      <c r="AS135" s="259" t="str">
        <f>IF(AS$117="","",IF(AS$117="","",IF(AS117='Detailed Feasibility'!$C$55,'Detailed Feasibility Inputs'!$F$56,0)))</f>
        <v/>
      </c>
      <c r="AT135" s="259" t="str">
        <f>IF(AT$117="","",IF(AT$117="","",IF(AT117='Detailed Feasibility'!$C$55,'Detailed Feasibility Inputs'!$F$56,0)))</f>
        <v/>
      </c>
      <c r="AU135" s="259" t="str">
        <f>IF(AU$117="","",IF(AU$117="","",IF(AU117='Detailed Feasibility'!$C$55,'Detailed Feasibility Inputs'!$F$56,0)))</f>
        <v/>
      </c>
      <c r="AV135" s="259" t="str">
        <f>IF(AV$117="","",IF(AV$117="","",IF(AV117='Detailed Feasibility'!$C$55,'Detailed Feasibility Inputs'!$F$56,0)))</f>
        <v/>
      </c>
      <c r="AW135" s="259" t="str">
        <f>IF(AW$117="","",IF(AW$117="","",IF(AW117='Detailed Feasibility'!$C$55,'Detailed Feasibility Inputs'!$F$56,0)))</f>
        <v/>
      </c>
      <c r="AX135" s="259" t="str">
        <f>IF(AX$117="","",IF(AX$117="","",IF(AX117='Detailed Feasibility'!$C$55,'Detailed Feasibility Inputs'!$F$56,0)))</f>
        <v/>
      </c>
      <c r="AY135" s="259" t="str">
        <f>IF(AY$117="","",IF(AY$117="","",IF(AY117='Detailed Feasibility'!$C$55,'Detailed Feasibility Inputs'!$F$56,0)))</f>
        <v/>
      </c>
      <c r="AZ135" s="259" t="str">
        <f>IF(AZ$117="","",IF(AZ$117="","",IF(AZ117='Detailed Feasibility'!$C$55,'Detailed Feasibility Inputs'!$F$56,0)))</f>
        <v/>
      </c>
      <c r="BA135" s="259" t="str">
        <f>IF(BA$117="","",IF(BA$117="","",IF(BA117='Detailed Feasibility'!$C$55,'Detailed Feasibility Inputs'!$F$56,0)))</f>
        <v/>
      </c>
      <c r="BB135" s="259" t="str">
        <f>IF(BB$117="","",IF(BB$117="","",IF(BB117='Detailed Feasibility'!$C$55,'Detailed Feasibility Inputs'!$F$56,0)))</f>
        <v/>
      </c>
      <c r="BC135" s="259" t="str">
        <f>IF(BC$117="","",IF(BC$117="","",IF(BC117='Detailed Feasibility'!$C$55,'Detailed Feasibility Inputs'!$F$56,0)))</f>
        <v/>
      </c>
      <c r="BD135" s="259" t="str">
        <f>IF(BD$117="","",IF(BD$117="","",IF(BD117='Detailed Feasibility'!$C$55,'Detailed Feasibility Inputs'!$F$56,0)))</f>
        <v/>
      </c>
      <c r="BE135" s="259" t="str">
        <f>IF(BE$117="","",IF(BE$117="","",IF(BE117='Detailed Feasibility'!$C$55,'Detailed Feasibility Inputs'!$F$56,0)))</f>
        <v/>
      </c>
      <c r="BF135" s="259" t="str">
        <f>IF(BF$117="","",IF(BF$117="","",IF(BF117='Detailed Feasibility'!$C$55,'Detailed Feasibility Inputs'!$F$56,0)))</f>
        <v/>
      </c>
      <c r="BG135" s="259" t="str">
        <f>IF(BG$117="","",IF(BG$117="","",IF(BG117='Detailed Feasibility'!$C$55,'Detailed Feasibility Inputs'!$F$56,0)))</f>
        <v/>
      </c>
      <c r="BH135" s="259" t="str">
        <f>IF(BH$117="","",IF(BH$117="","",IF(BH117='Detailed Feasibility'!$C$55,'Detailed Feasibility Inputs'!$F$56,0)))</f>
        <v/>
      </c>
      <c r="BI135" s="259" t="str">
        <f>IF(BI$117="","",IF(BI$117="","",IF(BI117='Detailed Feasibility'!$C$55,'Detailed Feasibility Inputs'!$F$56,0)))</f>
        <v/>
      </c>
      <c r="BJ135" s="259" t="str">
        <f>IF(BJ$117="","",IF(BJ$117="","",IF(BJ117='Detailed Feasibility'!$C$55,'Detailed Feasibility Inputs'!$F$56,0)))</f>
        <v/>
      </c>
      <c r="BK135" s="259" t="str">
        <f>IF(BK$117="","",IF(BK$117="","",IF(BK117='Detailed Feasibility'!$C$55,'Detailed Feasibility Inputs'!$F$56,0)))</f>
        <v/>
      </c>
      <c r="BL135" s="259" t="str">
        <f>IF(BL$117="","",IF(BL$117="","",IF(BL117='Detailed Feasibility'!$C$55,'Detailed Feasibility Inputs'!$F$56,0)))</f>
        <v/>
      </c>
      <c r="BM135" s="260" t="str">
        <f>IF(BM$117="","",IF(BM$117="","",IF(BM117='Detailed Feasibility'!$C$55,'Detailed Feasibility Inputs'!$F$56,0)))</f>
        <v/>
      </c>
    </row>
    <row r="136" spans="2:65" s="198" customFormat="1" x14ac:dyDescent="0.25">
      <c r="B136" s="353" t="str">
        <f>B56</f>
        <v>Site Civils &amp; Infrastructure</v>
      </c>
      <c r="C136" s="736"/>
      <c r="D136" s="212">
        <f>'Detailed Feasibility Inputs'!F71</f>
        <v>360000</v>
      </c>
      <c r="E136" s="736">
        <f t="shared" ref="E136:E138" si="28">IF(SUM(F136:BM136)=D136,1,0)</f>
        <v>1</v>
      </c>
      <c r="F136" s="259">
        <f>IF(AND(F117&gt;='Detailed Feasibility'!$C$56,F117&lt;'Detailed Feasibility'!$D$56),('Detailed Feasibility Inputs'!$F$71/('Detailed Feasibility'!$D$56-'Detailed Feasibility'!$C$56)),0)</f>
        <v>0</v>
      </c>
      <c r="G136" s="259">
        <f>IF(G117="","",IF(AND(G117&gt;='Detailed Feasibility'!$C$56,G117&lt;'Detailed Feasibility'!$D$56),('Detailed Feasibility Inputs'!$F$71/('Detailed Feasibility'!$D$56-'Detailed Feasibility'!$C$56)),0))</f>
        <v>0</v>
      </c>
      <c r="H136" s="259">
        <f>IF(H117="","",IF(AND(H117&gt;='Detailed Feasibility'!$C$56,H117&lt;'Detailed Feasibility'!$D$56),('Detailed Feasibility Inputs'!$F$71/('Detailed Feasibility'!$D$56-'Detailed Feasibility'!$C$56)),0))</f>
        <v>0</v>
      </c>
      <c r="I136" s="259">
        <f>IF(I117="","",IF(AND(I117&gt;='Detailed Feasibility'!$C$56,I117&lt;'Detailed Feasibility'!$D$56),('Detailed Feasibility Inputs'!$F$71/('Detailed Feasibility'!$D$56-'Detailed Feasibility'!$C$56)),0))</f>
        <v>0</v>
      </c>
      <c r="J136" s="259">
        <f>IF(J117="","",IF(AND(J117&gt;='Detailed Feasibility'!$C$56,J117&lt;'Detailed Feasibility'!$D$56),('Detailed Feasibility Inputs'!$F$71/('Detailed Feasibility'!$D$56-'Detailed Feasibility'!$C$56)),0))</f>
        <v>0</v>
      </c>
      <c r="K136" s="259">
        <f>IF(K117="","",IF(AND(K117&gt;='Detailed Feasibility'!$C$56,K117&lt;'Detailed Feasibility'!$D$56),('Detailed Feasibility Inputs'!$F$71/('Detailed Feasibility'!$D$56-'Detailed Feasibility'!$C$56)),0))</f>
        <v>60000</v>
      </c>
      <c r="L136" s="259">
        <f>IF(L117="","",IF(AND(L117&gt;='Detailed Feasibility'!$C$56,L117&lt;'Detailed Feasibility'!$D$56),('Detailed Feasibility Inputs'!$F$71/('Detailed Feasibility'!$D$56-'Detailed Feasibility'!$C$56)),0))</f>
        <v>60000</v>
      </c>
      <c r="M136" s="259">
        <f>IF(M117="","",IF(AND(M117&gt;='Detailed Feasibility'!$C$56,M117&lt;'Detailed Feasibility'!$D$56),('Detailed Feasibility Inputs'!$F$71/('Detailed Feasibility'!$D$56-'Detailed Feasibility'!$C$56)),0))</f>
        <v>60000</v>
      </c>
      <c r="N136" s="259">
        <f>IF(N117="","",IF(AND(N117&gt;='Detailed Feasibility'!$C$56,N117&lt;'Detailed Feasibility'!$D$56),('Detailed Feasibility Inputs'!$F$71/('Detailed Feasibility'!$D$56-'Detailed Feasibility'!$C$56)),0))</f>
        <v>60000</v>
      </c>
      <c r="O136" s="259">
        <f>IF(O117="","",IF(AND(O117&gt;='Detailed Feasibility'!$C$56,O117&lt;'Detailed Feasibility'!$D$56),('Detailed Feasibility Inputs'!$F$71/('Detailed Feasibility'!$D$56-'Detailed Feasibility'!$C$56)),0))</f>
        <v>60000</v>
      </c>
      <c r="P136" s="259">
        <f>IF(P117="","",IF(AND(P117&gt;='Detailed Feasibility'!$C$56,P117&lt;'Detailed Feasibility'!$D$56),('Detailed Feasibility Inputs'!$F$71/('Detailed Feasibility'!$D$56-'Detailed Feasibility'!$C$56)),0))</f>
        <v>60000</v>
      </c>
      <c r="Q136" s="259">
        <f>IF(Q117="","",IF(AND(Q117&gt;='Detailed Feasibility'!$C$56,Q117&lt;'Detailed Feasibility'!$D$56),('Detailed Feasibility Inputs'!$F$71/('Detailed Feasibility'!$D$56-'Detailed Feasibility'!$C$56)),0))</f>
        <v>0</v>
      </c>
      <c r="R136" s="259">
        <f>IF(R117="","",IF(AND(R117&gt;='Detailed Feasibility'!$C$56,R117&lt;'Detailed Feasibility'!$D$56),('Detailed Feasibility Inputs'!$F$71/('Detailed Feasibility'!$D$56-'Detailed Feasibility'!$C$56)),0))</f>
        <v>0</v>
      </c>
      <c r="S136" s="259">
        <f>IF(S117="","",IF(AND(S117&gt;='Detailed Feasibility'!$C$56,S117&lt;'Detailed Feasibility'!$D$56),('Detailed Feasibility Inputs'!$F$71/('Detailed Feasibility'!$D$56-'Detailed Feasibility'!$C$56)),0))</f>
        <v>0</v>
      </c>
      <c r="T136" s="259">
        <f>IF(T117="","",IF(AND(T117&gt;='Detailed Feasibility'!$C$56,T117&lt;'Detailed Feasibility'!$D$56),('Detailed Feasibility Inputs'!$F$71/('Detailed Feasibility'!$D$56-'Detailed Feasibility'!$C$56)),0))</f>
        <v>0</v>
      </c>
      <c r="U136" s="259">
        <f>IF(U117="","",IF(AND(U117&gt;='Detailed Feasibility'!$C$56,U117&lt;'Detailed Feasibility'!$D$56),('Detailed Feasibility Inputs'!$F$71/('Detailed Feasibility'!$D$56-'Detailed Feasibility'!$C$56)),0))</f>
        <v>0</v>
      </c>
      <c r="V136" s="259">
        <f>IF(V117="","",IF(AND(V117&gt;='Detailed Feasibility'!$C$56,V117&lt;'Detailed Feasibility'!$D$56),('Detailed Feasibility Inputs'!$F$71/('Detailed Feasibility'!$D$56-'Detailed Feasibility'!$C$56)),0))</f>
        <v>0</v>
      </c>
      <c r="W136" s="259">
        <f>IF(W117="","",IF(AND(W117&gt;='Detailed Feasibility'!$C$56,W117&lt;'Detailed Feasibility'!$D$56),('Detailed Feasibility Inputs'!$F$71/('Detailed Feasibility'!$D$56-'Detailed Feasibility'!$C$56)),0))</f>
        <v>0</v>
      </c>
      <c r="X136" s="259">
        <f>IF(X117="","",IF(AND(X117&gt;='Detailed Feasibility'!$C$56,X117&lt;'Detailed Feasibility'!$D$56),('Detailed Feasibility Inputs'!$F$71/('Detailed Feasibility'!$D$56-'Detailed Feasibility'!$C$56)),0))</f>
        <v>0</v>
      </c>
      <c r="Y136" s="259">
        <f>IF(Y117="","",IF(AND(Y117&gt;='Detailed Feasibility'!$C$56,Y117&lt;'Detailed Feasibility'!$D$56),('Detailed Feasibility Inputs'!$F$71/('Detailed Feasibility'!$D$56-'Detailed Feasibility'!$C$56)),0))</f>
        <v>0</v>
      </c>
      <c r="Z136" s="259">
        <f>IF(Z117="","",IF(AND(Z117&gt;='Detailed Feasibility'!$C$56,Z117&lt;'Detailed Feasibility'!$D$56),('Detailed Feasibility Inputs'!$F$71/('Detailed Feasibility'!$D$56-'Detailed Feasibility'!$C$56)),0))</f>
        <v>0</v>
      </c>
      <c r="AA136" s="259">
        <f>IF(AA117="","",IF(AND(AA117&gt;='Detailed Feasibility'!$C$56,AA117&lt;'Detailed Feasibility'!$D$56),('Detailed Feasibility Inputs'!$F$71/('Detailed Feasibility'!$D$56-'Detailed Feasibility'!$C$56)),0))</f>
        <v>0</v>
      </c>
      <c r="AB136" s="259">
        <f>IF(AB117="","",IF(AND(AB117&gt;='Detailed Feasibility'!$C$56,AB117&lt;'Detailed Feasibility'!$D$56),('Detailed Feasibility Inputs'!$F$71/('Detailed Feasibility'!$D$56-'Detailed Feasibility'!$C$56)),0))</f>
        <v>0</v>
      </c>
      <c r="AC136" s="259">
        <f>IF(AC117="","",IF(AND(AC117&gt;='Detailed Feasibility'!$C$56,AC117&lt;'Detailed Feasibility'!$D$56),('Detailed Feasibility Inputs'!$F$71/('Detailed Feasibility'!$D$56-'Detailed Feasibility'!$C$56)),0))</f>
        <v>0</v>
      </c>
      <c r="AD136" s="259">
        <f>IF(AD117="","",IF(AND(AD117&gt;='Detailed Feasibility'!$C$56,AD117&lt;'Detailed Feasibility'!$D$56),('Detailed Feasibility Inputs'!$F$71/('Detailed Feasibility'!$D$56-'Detailed Feasibility'!$C$56)),0))</f>
        <v>0</v>
      </c>
      <c r="AE136" s="259">
        <f>IF(AE117="","",IF(AND(AE117&gt;='Detailed Feasibility'!$C$56,AE117&lt;'Detailed Feasibility'!$D$56),('Detailed Feasibility Inputs'!$F$71/('Detailed Feasibility'!$D$56-'Detailed Feasibility'!$C$56)),0))</f>
        <v>0</v>
      </c>
      <c r="AF136" s="259" t="str">
        <f>IF(AF117="","",IF(AND(AF117&gt;='Detailed Feasibility'!$C$56,AF117&lt;'Detailed Feasibility'!$D$56),('Detailed Feasibility Inputs'!$F$71/('Detailed Feasibility'!$D$56-'Detailed Feasibility'!$C$56)),0))</f>
        <v/>
      </c>
      <c r="AG136" s="259" t="str">
        <f>IF(AG117="","",IF(AND(AG117&gt;='Detailed Feasibility'!$C$56,AG117&lt;'Detailed Feasibility'!$D$56),('Detailed Feasibility Inputs'!$F$71/('Detailed Feasibility'!$D$56-'Detailed Feasibility'!$C$56)),0))</f>
        <v/>
      </c>
      <c r="AH136" s="259" t="str">
        <f>IF(AH117="","",IF(AND(AH117&gt;='Detailed Feasibility'!$C$56,AH117&lt;'Detailed Feasibility'!$D$56),('Detailed Feasibility Inputs'!$F$71/('Detailed Feasibility'!$D$56-'Detailed Feasibility'!$C$56)),0))</f>
        <v/>
      </c>
      <c r="AI136" s="259" t="str">
        <f>IF(AI117="","",IF(AND(AI117&gt;='Detailed Feasibility'!$C$56,AI117&lt;'Detailed Feasibility'!$D$56),('Detailed Feasibility Inputs'!$F$71/('Detailed Feasibility'!$D$56-'Detailed Feasibility'!$C$56)),0))</f>
        <v/>
      </c>
      <c r="AJ136" s="259" t="str">
        <f>IF(AJ117="","",IF(AND(AJ117&gt;='Detailed Feasibility'!$C$56,AJ117&lt;'Detailed Feasibility'!$D$56),('Detailed Feasibility Inputs'!$F$71/('Detailed Feasibility'!$D$56-'Detailed Feasibility'!$C$56)),0))</f>
        <v/>
      </c>
      <c r="AK136" s="259" t="str">
        <f>IF(AK117="","",IF(AND(AK117&gt;='Detailed Feasibility'!$C$56,AK117&lt;'Detailed Feasibility'!$D$56),('Detailed Feasibility Inputs'!$F$71/('Detailed Feasibility'!$D$56-'Detailed Feasibility'!$C$56)),0))</f>
        <v/>
      </c>
      <c r="AL136" s="259" t="str">
        <f>IF(AL117="","",IF(AND(AL117&gt;='Detailed Feasibility'!$C$56,AL117&lt;'Detailed Feasibility'!$D$56),('Detailed Feasibility Inputs'!$F$71/('Detailed Feasibility'!$D$56-'Detailed Feasibility'!$C$56)),0))</f>
        <v/>
      </c>
      <c r="AM136" s="259" t="str">
        <f>IF(AM117="","",IF(AND(AM117&gt;='Detailed Feasibility'!$C$56,AM117&lt;'Detailed Feasibility'!$D$56),('Detailed Feasibility Inputs'!$F$71/('Detailed Feasibility'!$D$56-'Detailed Feasibility'!$C$56)),0))</f>
        <v/>
      </c>
      <c r="AN136" s="259" t="str">
        <f>IF(AN117="","",IF(AND(AN117&gt;='Detailed Feasibility'!$C$56,AN117&lt;'Detailed Feasibility'!$D$56),('Detailed Feasibility Inputs'!$F$71/('Detailed Feasibility'!$D$56-'Detailed Feasibility'!$C$56)),0))</f>
        <v/>
      </c>
      <c r="AO136" s="259" t="str">
        <f>IF(AO117="","",IF(AND(AO117&gt;='Detailed Feasibility'!$C$56,AO117&lt;'Detailed Feasibility'!$D$56),('Detailed Feasibility Inputs'!$F$71/('Detailed Feasibility'!$D$56-'Detailed Feasibility'!$C$56)),0))</f>
        <v/>
      </c>
      <c r="AP136" s="259" t="str">
        <f>IF(AP117="","",IF(AND(AP117&gt;='Detailed Feasibility'!$C$56,AP117&lt;'Detailed Feasibility'!$D$56),('Detailed Feasibility Inputs'!$F$71/('Detailed Feasibility'!$D$56-'Detailed Feasibility'!$C$56)),0))</f>
        <v/>
      </c>
      <c r="AQ136" s="259" t="str">
        <f>IF(AQ117="","",IF(AND(AQ117&gt;='Detailed Feasibility'!$C$56,AQ117&lt;'Detailed Feasibility'!$D$56),('Detailed Feasibility Inputs'!$F$71/('Detailed Feasibility'!$D$56-'Detailed Feasibility'!$C$56)),0))</f>
        <v/>
      </c>
      <c r="AR136" s="259" t="str">
        <f>IF(AR117="","",IF(AND(AR117&gt;='Detailed Feasibility'!$C$56,AR117&lt;'Detailed Feasibility'!$D$56),('Detailed Feasibility Inputs'!$F$71/('Detailed Feasibility'!$D$56-'Detailed Feasibility'!$C$56)),0))</f>
        <v/>
      </c>
      <c r="AS136" s="259" t="str">
        <f>IF(AS117="","",IF(AND(AS117&gt;='Detailed Feasibility'!$C$56,AS117&lt;'Detailed Feasibility'!$D$56),('Detailed Feasibility Inputs'!$F$71/('Detailed Feasibility'!$D$56-'Detailed Feasibility'!$C$56)),0))</f>
        <v/>
      </c>
      <c r="AT136" s="259" t="str">
        <f>IF(AT117="","",IF(AND(AT117&gt;='Detailed Feasibility'!$C$56,AT117&lt;'Detailed Feasibility'!$D$56),('Detailed Feasibility Inputs'!$F$71/('Detailed Feasibility'!$D$56-'Detailed Feasibility'!$C$56)),0))</f>
        <v/>
      </c>
      <c r="AU136" s="259" t="str">
        <f>IF(AU117="","",IF(AND(AU117&gt;='Detailed Feasibility'!$C$56,AU117&lt;'Detailed Feasibility'!$D$56),('Detailed Feasibility Inputs'!$F$71/('Detailed Feasibility'!$D$56-'Detailed Feasibility'!$C$56)),0))</f>
        <v/>
      </c>
      <c r="AV136" s="259" t="str">
        <f>IF(AV117="","",IF(AND(AV117&gt;='Detailed Feasibility'!$C$56,AV117&lt;'Detailed Feasibility'!$D$56),('Detailed Feasibility Inputs'!$F$71/('Detailed Feasibility'!$D$56-'Detailed Feasibility'!$C$56)),0))</f>
        <v/>
      </c>
      <c r="AW136" s="259" t="str">
        <f>IF(AW117="","",IF(AND(AW117&gt;='Detailed Feasibility'!$C$56,AW117&lt;'Detailed Feasibility'!$D$56),('Detailed Feasibility Inputs'!$F$71/('Detailed Feasibility'!$D$56-'Detailed Feasibility'!$C$56)),0))</f>
        <v/>
      </c>
      <c r="AX136" s="259" t="str">
        <f>IF(AX117="","",IF(AND(AX117&gt;='Detailed Feasibility'!$C$56,AX117&lt;'Detailed Feasibility'!$D$56),('Detailed Feasibility Inputs'!$F$71/('Detailed Feasibility'!$D$56-'Detailed Feasibility'!$C$56)),0))</f>
        <v/>
      </c>
      <c r="AY136" s="259" t="str">
        <f>IF(AY117="","",IF(AND(AY117&gt;='Detailed Feasibility'!$C$56,AY117&lt;'Detailed Feasibility'!$D$56),('Detailed Feasibility Inputs'!$F$71/('Detailed Feasibility'!$D$56-'Detailed Feasibility'!$C$56)),0))</f>
        <v/>
      </c>
      <c r="AZ136" s="259" t="str">
        <f>IF(AZ117="","",IF(AND(AZ117&gt;='Detailed Feasibility'!$C$56,AZ117&lt;'Detailed Feasibility'!$D$56),('Detailed Feasibility Inputs'!$F$71/('Detailed Feasibility'!$D$56-'Detailed Feasibility'!$C$56)),0))</f>
        <v/>
      </c>
      <c r="BA136" s="259" t="str">
        <f>IF(BA117="","",IF(AND(BA117&gt;='Detailed Feasibility'!$C$56,BA117&lt;'Detailed Feasibility'!$D$56),('Detailed Feasibility Inputs'!$F$71/('Detailed Feasibility'!$D$56-'Detailed Feasibility'!$C$56)),0))</f>
        <v/>
      </c>
      <c r="BB136" s="259" t="str">
        <f>IF(BB117="","",IF(AND(BB117&gt;='Detailed Feasibility'!$C$56,BB117&lt;'Detailed Feasibility'!$D$56),('Detailed Feasibility Inputs'!$F$71/('Detailed Feasibility'!$D$56-'Detailed Feasibility'!$C$56)),0))</f>
        <v/>
      </c>
      <c r="BC136" s="259" t="str">
        <f>IF(BC117="","",IF(AND(BC117&gt;='Detailed Feasibility'!$C$56,BC117&lt;'Detailed Feasibility'!$D$56),('Detailed Feasibility Inputs'!$F$71/('Detailed Feasibility'!$D$56-'Detailed Feasibility'!$C$56)),0))</f>
        <v/>
      </c>
      <c r="BD136" s="259" t="str">
        <f>IF(BD117="","",IF(AND(BD117&gt;='Detailed Feasibility'!$C$56,BD117&lt;'Detailed Feasibility'!$D$56),('Detailed Feasibility Inputs'!$F$71/('Detailed Feasibility'!$D$56-'Detailed Feasibility'!$C$56)),0))</f>
        <v/>
      </c>
      <c r="BE136" s="259" t="str">
        <f>IF(BE117="","",IF(AND(BE117&gt;='Detailed Feasibility'!$C$56,BE117&lt;'Detailed Feasibility'!$D$56),('Detailed Feasibility Inputs'!$F$71/('Detailed Feasibility'!$D$56-'Detailed Feasibility'!$C$56)),0))</f>
        <v/>
      </c>
      <c r="BF136" s="259" t="str">
        <f>IF(BF117="","",IF(AND(BF117&gt;='Detailed Feasibility'!$C$56,BF117&lt;'Detailed Feasibility'!$D$56),('Detailed Feasibility Inputs'!$F$71/('Detailed Feasibility'!$D$56-'Detailed Feasibility'!$C$56)),0))</f>
        <v/>
      </c>
      <c r="BG136" s="259" t="str">
        <f>IF(BG117="","",IF(AND(BG117&gt;='Detailed Feasibility'!$C$56,BG117&lt;'Detailed Feasibility'!$D$56),('Detailed Feasibility Inputs'!$F$71/('Detailed Feasibility'!$D$56-'Detailed Feasibility'!$C$56)),0))</f>
        <v/>
      </c>
      <c r="BH136" s="259" t="str">
        <f>IF(BH117="","",IF(AND(BH117&gt;='Detailed Feasibility'!$C$56,BH117&lt;'Detailed Feasibility'!$D$56),('Detailed Feasibility Inputs'!$F$71/('Detailed Feasibility'!$D$56-'Detailed Feasibility'!$C$56)),0))</f>
        <v/>
      </c>
      <c r="BI136" s="259" t="str">
        <f>IF(BI117="","",IF(AND(BI117&gt;='Detailed Feasibility'!$C$56,BI117&lt;'Detailed Feasibility'!$D$56),('Detailed Feasibility Inputs'!$F$71/('Detailed Feasibility'!$D$56-'Detailed Feasibility'!$C$56)),0))</f>
        <v/>
      </c>
      <c r="BJ136" s="259" t="str">
        <f>IF(BJ117="","",IF(AND(BJ117&gt;='Detailed Feasibility'!$C$56,BJ117&lt;'Detailed Feasibility'!$D$56),('Detailed Feasibility Inputs'!$F$71/('Detailed Feasibility'!$D$56-'Detailed Feasibility'!$C$56)),0))</f>
        <v/>
      </c>
      <c r="BK136" s="259" t="str">
        <f>IF(BK117="","",IF(AND(BK117&gt;='Detailed Feasibility'!$C$56,BK117&lt;'Detailed Feasibility'!$D$56),('Detailed Feasibility Inputs'!$F$71/('Detailed Feasibility'!$D$56-'Detailed Feasibility'!$C$56)),0))</f>
        <v/>
      </c>
      <c r="BL136" s="259" t="str">
        <f>IF(BL117="","",IF(AND(BL117&gt;='Detailed Feasibility'!$C$56,BL117&lt;'Detailed Feasibility'!$D$56),('Detailed Feasibility Inputs'!$F$71/('Detailed Feasibility'!$D$56-'Detailed Feasibility'!$C$56)),0))</f>
        <v/>
      </c>
      <c r="BM136" s="260" t="str">
        <f>IF(BM117="","",IF(AND(BM117&gt;='Detailed Feasibility'!$C$56,BM117&lt;'Detailed Feasibility'!$D$56),('Detailed Feasibility Inputs'!$F$71/('Detailed Feasibility'!$D$56-'Detailed Feasibility'!$C$56)),0))</f>
        <v/>
      </c>
    </row>
    <row r="137" spans="2:65" s="198" customFormat="1" x14ac:dyDescent="0.25">
      <c r="B137" s="353" t="str">
        <f>B57</f>
        <v>Professional Fees</v>
      </c>
      <c r="C137" s="736"/>
      <c r="D137" s="212">
        <f>'Detailed Feasibility Inputs'!F85</f>
        <v>830550</v>
      </c>
      <c r="E137" s="736">
        <f t="shared" si="28"/>
        <v>1</v>
      </c>
      <c r="F137" s="259">
        <f>IF(AND(F117&gt;='Detailed Feasibility'!$C$57,F117&lt;'Detailed Feasibility'!$D$57),('Detailed Feasibility Inputs'!$F$85/('Detailed Feasibility'!$D$57-'Detailed Feasibility'!$C$57)),0)</f>
        <v>0</v>
      </c>
      <c r="G137" s="259">
        <f>IF(G117="","",IF(AND(G117&gt;='Detailed Feasibility'!$C$57,G117&lt;'Detailed Feasibility'!$D$57),('Detailed Feasibility Inputs'!$F$85/('Detailed Feasibility'!$D$57-'Detailed Feasibility'!$C$57)),0))</f>
        <v>0</v>
      </c>
      <c r="H137" s="259">
        <f>IF(H117="","",IF(AND(H117&gt;='Detailed Feasibility'!$C$57,H117&lt;'Detailed Feasibility'!$D$57),('Detailed Feasibility Inputs'!$F$85/('Detailed Feasibility'!$D$57-'Detailed Feasibility'!$C$57)),0))</f>
        <v>48855.882352941175</v>
      </c>
      <c r="I137" s="259">
        <f>IF(I117="","",IF(AND(I117&gt;='Detailed Feasibility'!$C$57,I117&lt;'Detailed Feasibility'!$D$57),('Detailed Feasibility Inputs'!$F$85/('Detailed Feasibility'!$D$57-'Detailed Feasibility'!$C$57)),0))</f>
        <v>48855.882352941175</v>
      </c>
      <c r="J137" s="259">
        <f>IF(J117="","",IF(AND(J117&gt;='Detailed Feasibility'!$C$57,J117&lt;'Detailed Feasibility'!$D$57),('Detailed Feasibility Inputs'!$F$85/('Detailed Feasibility'!$D$57-'Detailed Feasibility'!$C$57)),0))</f>
        <v>48855.882352941175</v>
      </c>
      <c r="K137" s="259">
        <f>IF(K117="","",IF(AND(K117&gt;='Detailed Feasibility'!$C$57,K117&lt;'Detailed Feasibility'!$D$57),('Detailed Feasibility Inputs'!$F$85/('Detailed Feasibility'!$D$57-'Detailed Feasibility'!$C$57)),0))</f>
        <v>48855.882352941175</v>
      </c>
      <c r="L137" s="259">
        <f>IF(L117="","",IF(AND(L117&gt;='Detailed Feasibility'!$C$57,L117&lt;'Detailed Feasibility'!$D$57),('Detailed Feasibility Inputs'!$F$85/('Detailed Feasibility'!$D$57-'Detailed Feasibility'!$C$57)),0))</f>
        <v>48855.882352941175</v>
      </c>
      <c r="M137" s="259">
        <f>IF(M117="","",IF(AND(M117&gt;='Detailed Feasibility'!$C$57,M117&lt;'Detailed Feasibility'!$D$57),('Detailed Feasibility Inputs'!$F$85/('Detailed Feasibility'!$D$57-'Detailed Feasibility'!$C$57)),0))</f>
        <v>48855.882352941175</v>
      </c>
      <c r="N137" s="259">
        <f>IF(N117="","",IF(AND(N117&gt;='Detailed Feasibility'!$C$57,N117&lt;'Detailed Feasibility'!$D$57),('Detailed Feasibility Inputs'!$F$85/('Detailed Feasibility'!$D$57-'Detailed Feasibility'!$C$57)),0))</f>
        <v>48855.882352941175</v>
      </c>
      <c r="O137" s="259">
        <f>IF(O117="","",IF(AND(O117&gt;='Detailed Feasibility'!$C$57,O117&lt;'Detailed Feasibility'!$D$57),('Detailed Feasibility Inputs'!$F$85/('Detailed Feasibility'!$D$57-'Detailed Feasibility'!$C$57)),0))</f>
        <v>48855.882352941175</v>
      </c>
      <c r="P137" s="259">
        <f>IF(P117="","",IF(AND(P117&gt;='Detailed Feasibility'!$C$57,P117&lt;'Detailed Feasibility'!$D$57),('Detailed Feasibility Inputs'!$F$85/('Detailed Feasibility'!$D$57-'Detailed Feasibility'!$C$57)),0))</f>
        <v>48855.882352941175</v>
      </c>
      <c r="Q137" s="259">
        <f>IF(Q117="","",IF(AND(Q117&gt;='Detailed Feasibility'!$C$57,Q117&lt;'Detailed Feasibility'!$D$57),('Detailed Feasibility Inputs'!$F$85/('Detailed Feasibility'!$D$57-'Detailed Feasibility'!$C$57)),0))</f>
        <v>48855.882352941175</v>
      </c>
      <c r="R137" s="259">
        <f>IF(R117="","",IF(AND(R117&gt;='Detailed Feasibility'!$C$57,R117&lt;'Detailed Feasibility'!$D$57),('Detailed Feasibility Inputs'!$F$85/('Detailed Feasibility'!$D$57-'Detailed Feasibility'!$C$57)),0))</f>
        <v>48855.882352941175</v>
      </c>
      <c r="S137" s="259">
        <f>IF(S117="","",IF(AND(S117&gt;='Detailed Feasibility'!$C$57,S117&lt;'Detailed Feasibility'!$D$57),('Detailed Feasibility Inputs'!$F$85/('Detailed Feasibility'!$D$57-'Detailed Feasibility'!$C$57)),0))</f>
        <v>48855.882352941175</v>
      </c>
      <c r="T137" s="259">
        <f>IF(T117="","",IF(AND(T117&gt;='Detailed Feasibility'!$C$57,T117&lt;'Detailed Feasibility'!$D$57),('Detailed Feasibility Inputs'!$F$85/('Detailed Feasibility'!$D$57-'Detailed Feasibility'!$C$57)),0))</f>
        <v>48855.882352941175</v>
      </c>
      <c r="U137" s="259">
        <f>IF(U117="","",IF(AND(U117&gt;='Detailed Feasibility'!$C$57,U117&lt;'Detailed Feasibility'!$D$57),('Detailed Feasibility Inputs'!$F$85/('Detailed Feasibility'!$D$57-'Detailed Feasibility'!$C$57)),0))</f>
        <v>48855.882352941175</v>
      </c>
      <c r="V137" s="259">
        <f>IF(V117="","",IF(AND(V117&gt;='Detailed Feasibility'!$C$57,V117&lt;'Detailed Feasibility'!$D$57),('Detailed Feasibility Inputs'!$F$85/('Detailed Feasibility'!$D$57-'Detailed Feasibility'!$C$57)),0))</f>
        <v>48855.882352941175</v>
      </c>
      <c r="W137" s="259">
        <f>IF(W117="","",IF(AND(W117&gt;='Detailed Feasibility'!$C$57,W117&lt;'Detailed Feasibility'!$D$57),('Detailed Feasibility Inputs'!$F$85/('Detailed Feasibility'!$D$57-'Detailed Feasibility'!$C$57)),0))</f>
        <v>48855.882352941175</v>
      </c>
      <c r="X137" s="259">
        <f>IF(X117="","",IF(AND(X117&gt;='Detailed Feasibility'!$C$57,X117&lt;'Detailed Feasibility'!$D$57),('Detailed Feasibility Inputs'!$F$85/('Detailed Feasibility'!$D$57-'Detailed Feasibility'!$C$57)),0))</f>
        <v>48855.882352941175</v>
      </c>
      <c r="Y137" s="259">
        <f>IF(Y117="","",IF(AND(Y117&gt;='Detailed Feasibility'!$C$57,Y117&lt;'Detailed Feasibility'!$D$57),('Detailed Feasibility Inputs'!$F$85/('Detailed Feasibility'!$D$57-'Detailed Feasibility'!$C$57)),0))</f>
        <v>0</v>
      </c>
      <c r="Z137" s="259">
        <f>IF(Z117="","",IF(AND(Z117&gt;='Detailed Feasibility'!$C$57,Z117&lt;'Detailed Feasibility'!$D$57),('Detailed Feasibility Inputs'!$F$85/('Detailed Feasibility'!$D$57-'Detailed Feasibility'!$C$57)),0))</f>
        <v>0</v>
      </c>
      <c r="AA137" s="259">
        <f>IF(AA117="","",IF(AND(AA117&gt;='Detailed Feasibility'!$C$57,AA117&lt;'Detailed Feasibility'!$D$57),('Detailed Feasibility Inputs'!$F$85/('Detailed Feasibility'!$D$57-'Detailed Feasibility'!$C$57)),0))</f>
        <v>0</v>
      </c>
      <c r="AB137" s="259">
        <f>IF(AB117="","",IF(AND(AB117&gt;='Detailed Feasibility'!$C$57,AB117&lt;'Detailed Feasibility'!$D$57),('Detailed Feasibility Inputs'!$F$85/('Detailed Feasibility'!$D$57-'Detailed Feasibility'!$C$57)),0))</f>
        <v>0</v>
      </c>
      <c r="AC137" s="259">
        <f>IF(AC117="","",IF(AND(AC117&gt;='Detailed Feasibility'!$C$57,AC117&lt;'Detailed Feasibility'!$D$57),('Detailed Feasibility Inputs'!$F$85/('Detailed Feasibility'!$D$57-'Detailed Feasibility'!$C$57)),0))</f>
        <v>0</v>
      </c>
      <c r="AD137" s="259">
        <f>IF(AD117="","",IF(AND(AD117&gt;='Detailed Feasibility'!$C$57,AD117&lt;'Detailed Feasibility'!$D$57),('Detailed Feasibility Inputs'!$F$85/('Detailed Feasibility'!$D$57-'Detailed Feasibility'!$C$57)),0))</f>
        <v>0</v>
      </c>
      <c r="AE137" s="259">
        <f>IF(AE117="","",IF(AND(AE117&gt;='Detailed Feasibility'!$C$57,AE117&lt;'Detailed Feasibility'!$D$57),('Detailed Feasibility Inputs'!$F$85/('Detailed Feasibility'!$D$57-'Detailed Feasibility'!$C$57)),0))</f>
        <v>0</v>
      </c>
      <c r="AF137" s="259" t="str">
        <f>IF(AF117="","",IF(AND(AF117&gt;='Detailed Feasibility'!$C$57,AF117&lt;'Detailed Feasibility'!$D$57),('Detailed Feasibility Inputs'!$F$85/('Detailed Feasibility'!$D$57-'Detailed Feasibility'!$C$57)),0))</f>
        <v/>
      </c>
      <c r="AG137" s="259" t="str">
        <f>IF(AG117="","",IF(AND(AG117&gt;='Detailed Feasibility'!$C$57,AG117&lt;'Detailed Feasibility'!$D$57),('Detailed Feasibility Inputs'!$F$85/('Detailed Feasibility'!$D$57-'Detailed Feasibility'!$C$57)),0))</f>
        <v/>
      </c>
      <c r="AH137" s="259" t="str">
        <f>IF(AH117="","",IF(AND(AH117&gt;='Detailed Feasibility'!$C$57,AH117&lt;'Detailed Feasibility'!$D$57),('Detailed Feasibility Inputs'!$F$85/('Detailed Feasibility'!$D$57-'Detailed Feasibility'!$C$57)),0))</f>
        <v/>
      </c>
      <c r="AI137" s="259" t="str">
        <f>IF(AI117="","",IF(AND(AI117&gt;='Detailed Feasibility'!$C$57,AI117&lt;'Detailed Feasibility'!$D$57),('Detailed Feasibility Inputs'!$F$85/('Detailed Feasibility'!$D$57-'Detailed Feasibility'!$C$57)),0))</f>
        <v/>
      </c>
      <c r="AJ137" s="259" t="str">
        <f>IF(AJ117="","",IF(AND(AJ117&gt;='Detailed Feasibility'!$C$57,AJ117&lt;'Detailed Feasibility'!$D$57),('Detailed Feasibility Inputs'!$F$85/('Detailed Feasibility'!$D$57-'Detailed Feasibility'!$C$57)),0))</f>
        <v/>
      </c>
      <c r="AK137" s="259" t="str">
        <f>IF(AK117="","",IF(AND(AK117&gt;='Detailed Feasibility'!$C$57,AK117&lt;'Detailed Feasibility'!$D$57),('Detailed Feasibility Inputs'!$F$85/('Detailed Feasibility'!$D$57-'Detailed Feasibility'!$C$57)),0))</f>
        <v/>
      </c>
      <c r="AL137" s="259" t="str">
        <f>IF(AL117="","",IF(AND(AL117&gt;='Detailed Feasibility'!$C$57,AL117&lt;'Detailed Feasibility'!$D$57),('Detailed Feasibility Inputs'!$F$85/('Detailed Feasibility'!$D$57-'Detailed Feasibility'!$C$57)),0))</f>
        <v/>
      </c>
      <c r="AM137" s="259" t="str">
        <f>IF(AM117="","",IF(AND(AM117&gt;='Detailed Feasibility'!$C$57,AM117&lt;'Detailed Feasibility'!$D$57),('Detailed Feasibility Inputs'!$F$85/('Detailed Feasibility'!$D$57-'Detailed Feasibility'!$C$57)),0))</f>
        <v/>
      </c>
      <c r="AN137" s="259" t="str">
        <f>IF(AN117="","",IF(AND(AN117&gt;='Detailed Feasibility'!$C$57,AN117&lt;'Detailed Feasibility'!$D$57),('Detailed Feasibility Inputs'!$F$85/('Detailed Feasibility'!$D$57-'Detailed Feasibility'!$C$57)),0))</f>
        <v/>
      </c>
      <c r="AO137" s="259" t="str">
        <f>IF(AO117="","",IF(AND(AO117&gt;='Detailed Feasibility'!$C$57,AO117&lt;'Detailed Feasibility'!$D$57),('Detailed Feasibility Inputs'!$F$85/('Detailed Feasibility'!$D$57-'Detailed Feasibility'!$C$57)),0))</f>
        <v/>
      </c>
      <c r="AP137" s="259" t="str">
        <f>IF(AP117="","",IF(AND(AP117&gt;='Detailed Feasibility'!$C$57,AP117&lt;'Detailed Feasibility'!$D$57),('Detailed Feasibility Inputs'!$F$85/('Detailed Feasibility'!$D$57-'Detailed Feasibility'!$C$57)),0))</f>
        <v/>
      </c>
      <c r="AQ137" s="259" t="str">
        <f>IF(AQ117="","",IF(AND(AQ117&gt;='Detailed Feasibility'!$C$57,AQ117&lt;'Detailed Feasibility'!$D$57),('Detailed Feasibility Inputs'!$F$85/('Detailed Feasibility'!$D$57-'Detailed Feasibility'!$C$57)),0))</f>
        <v/>
      </c>
      <c r="AR137" s="259" t="str">
        <f>IF(AR117="","",IF(AND(AR117&gt;='Detailed Feasibility'!$C$57,AR117&lt;'Detailed Feasibility'!$D$57),('Detailed Feasibility Inputs'!$F$85/('Detailed Feasibility'!$D$57-'Detailed Feasibility'!$C$57)),0))</f>
        <v/>
      </c>
      <c r="AS137" s="259" t="str">
        <f>IF(AS117="","",IF(AND(AS117&gt;='Detailed Feasibility'!$C$57,AS117&lt;'Detailed Feasibility'!$D$57),('Detailed Feasibility Inputs'!$F$85/('Detailed Feasibility'!$D$57-'Detailed Feasibility'!$C$57)),0))</f>
        <v/>
      </c>
      <c r="AT137" s="259" t="str">
        <f>IF(AT117="","",IF(AND(AT117&gt;='Detailed Feasibility'!$C$57,AT117&lt;'Detailed Feasibility'!$D$57),('Detailed Feasibility Inputs'!$F$85/('Detailed Feasibility'!$D$57-'Detailed Feasibility'!$C$57)),0))</f>
        <v/>
      </c>
      <c r="AU137" s="259" t="str">
        <f>IF(AU117="","",IF(AND(AU117&gt;='Detailed Feasibility'!$C$57,AU117&lt;'Detailed Feasibility'!$D$57),('Detailed Feasibility Inputs'!$F$85/('Detailed Feasibility'!$D$57-'Detailed Feasibility'!$C$57)),0))</f>
        <v/>
      </c>
      <c r="AV137" s="259" t="str">
        <f>IF(AV117="","",IF(AND(AV117&gt;='Detailed Feasibility'!$C$57,AV117&lt;'Detailed Feasibility'!$D$57),('Detailed Feasibility Inputs'!$F$85/('Detailed Feasibility'!$D$57-'Detailed Feasibility'!$C$57)),0))</f>
        <v/>
      </c>
      <c r="AW137" s="259" t="str">
        <f>IF(AW117="","",IF(AND(AW117&gt;='Detailed Feasibility'!$C$57,AW117&lt;'Detailed Feasibility'!$D$57),('Detailed Feasibility Inputs'!$F$85/('Detailed Feasibility'!$D$57-'Detailed Feasibility'!$C$57)),0))</f>
        <v/>
      </c>
      <c r="AX137" s="259" t="str">
        <f>IF(AX117="","",IF(AND(AX117&gt;='Detailed Feasibility'!$C$57,AX117&lt;'Detailed Feasibility'!$D$57),('Detailed Feasibility Inputs'!$F$85/('Detailed Feasibility'!$D$57-'Detailed Feasibility'!$C$57)),0))</f>
        <v/>
      </c>
      <c r="AY137" s="259" t="str">
        <f>IF(AY117="","",IF(AND(AY117&gt;='Detailed Feasibility'!$C$57,AY117&lt;'Detailed Feasibility'!$D$57),('Detailed Feasibility Inputs'!$F$85/('Detailed Feasibility'!$D$57-'Detailed Feasibility'!$C$57)),0))</f>
        <v/>
      </c>
      <c r="AZ137" s="259" t="str">
        <f>IF(AZ117="","",IF(AND(AZ117&gt;='Detailed Feasibility'!$C$57,AZ117&lt;'Detailed Feasibility'!$D$57),('Detailed Feasibility Inputs'!$F$85/('Detailed Feasibility'!$D$57-'Detailed Feasibility'!$C$57)),0))</f>
        <v/>
      </c>
      <c r="BA137" s="259" t="str">
        <f>IF(BA117="","",IF(AND(BA117&gt;='Detailed Feasibility'!$C$57,BA117&lt;'Detailed Feasibility'!$D$57),('Detailed Feasibility Inputs'!$F$85/('Detailed Feasibility'!$D$57-'Detailed Feasibility'!$C$57)),0))</f>
        <v/>
      </c>
      <c r="BB137" s="259" t="str">
        <f>IF(BB117="","",IF(AND(BB117&gt;='Detailed Feasibility'!$C$57,BB117&lt;'Detailed Feasibility'!$D$57),('Detailed Feasibility Inputs'!$F$85/('Detailed Feasibility'!$D$57-'Detailed Feasibility'!$C$57)),0))</f>
        <v/>
      </c>
      <c r="BC137" s="259" t="str">
        <f>IF(BC117="","",IF(AND(BC117&gt;='Detailed Feasibility'!$C$57,BC117&lt;'Detailed Feasibility'!$D$57),('Detailed Feasibility Inputs'!$F$85/('Detailed Feasibility'!$D$57-'Detailed Feasibility'!$C$57)),0))</f>
        <v/>
      </c>
      <c r="BD137" s="259" t="str">
        <f>IF(BD117="","",IF(AND(BD117&gt;='Detailed Feasibility'!$C$57,BD117&lt;'Detailed Feasibility'!$D$57),('Detailed Feasibility Inputs'!$F$85/('Detailed Feasibility'!$D$57-'Detailed Feasibility'!$C$57)),0))</f>
        <v/>
      </c>
      <c r="BE137" s="259" t="str">
        <f>IF(BE117="","",IF(AND(BE117&gt;='Detailed Feasibility'!$C$57,BE117&lt;'Detailed Feasibility'!$D$57),('Detailed Feasibility Inputs'!$F$85/('Detailed Feasibility'!$D$57-'Detailed Feasibility'!$C$57)),0))</f>
        <v/>
      </c>
      <c r="BF137" s="259" t="str">
        <f>IF(BF117="","",IF(AND(BF117&gt;='Detailed Feasibility'!$C$57,BF117&lt;'Detailed Feasibility'!$D$57),('Detailed Feasibility Inputs'!$F$85/('Detailed Feasibility'!$D$57-'Detailed Feasibility'!$C$57)),0))</f>
        <v/>
      </c>
      <c r="BG137" s="259" t="str">
        <f>IF(BG117="","",IF(AND(BG117&gt;='Detailed Feasibility'!$C$57,BG117&lt;'Detailed Feasibility'!$D$57),('Detailed Feasibility Inputs'!$F$85/('Detailed Feasibility'!$D$57-'Detailed Feasibility'!$C$57)),0))</f>
        <v/>
      </c>
      <c r="BH137" s="259" t="str">
        <f>IF(BH117="","",IF(AND(BH117&gt;='Detailed Feasibility'!$C$57,BH117&lt;'Detailed Feasibility'!$D$57),('Detailed Feasibility Inputs'!$F$85/('Detailed Feasibility'!$D$57-'Detailed Feasibility'!$C$57)),0))</f>
        <v/>
      </c>
      <c r="BI137" s="259" t="str">
        <f>IF(BI117="","",IF(AND(BI117&gt;='Detailed Feasibility'!$C$57,BI117&lt;'Detailed Feasibility'!$D$57),('Detailed Feasibility Inputs'!$F$85/('Detailed Feasibility'!$D$57-'Detailed Feasibility'!$C$57)),0))</f>
        <v/>
      </c>
      <c r="BJ137" s="259" t="str">
        <f>IF(BJ117="","",IF(AND(BJ117&gt;='Detailed Feasibility'!$C$57,BJ117&lt;'Detailed Feasibility'!$D$57),('Detailed Feasibility Inputs'!$F$85/('Detailed Feasibility'!$D$57-'Detailed Feasibility'!$C$57)),0))</f>
        <v/>
      </c>
      <c r="BK137" s="259" t="str">
        <f>IF(BK117="","",IF(AND(BK117&gt;='Detailed Feasibility'!$C$57,BK117&lt;'Detailed Feasibility'!$D$57),('Detailed Feasibility Inputs'!$F$85/('Detailed Feasibility'!$D$57-'Detailed Feasibility'!$C$57)),0))</f>
        <v/>
      </c>
      <c r="BL137" s="259" t="str">
        <f>IF(BL117="","",IF(AND(BL117&gt;='Detailed Feasibility'!$C$57,BL117&lt;'Detailed Feasibility'!$D$57),('Detailed Feasibility Inputs'!$F$85/('Detailed Feasibility'!$D$57-'Detailed Feasibility'!$C$57)),0))</f>
        <v/>
      </c>
      <c r="BM137" s="260" t="str">
        <f>IF(BM117="","",IF(AND(BM117&gt;='Detailed Feasibility'!$C$57,BM117&lt;'Detailed Feasibility'!$D$57),('Detailed Feasibility Inputs'!$F$85/('Detailed Feasibility'!$D$57-'Detailed Feasibility'!$C$57)),0))</f>
        <v/>
      </c>
    </row>
    <row r="138" spans="2:65" s="198" customFormat="1" x14ac:dyDescent="0.25">
      <c r="B138" s="353" t="str">
        <f>B58</f>
        <v>Council Costs</v>
      </c>
      <c r="C138" s="736"/>
      <c r="D138" s="212">
        <f>'Detailed Feasibility Inputs'!F95</f>
        <v>414000</v>
      </c>
      <c r="E138" s="736">
        <f t="shared" si="28"/>
        <v>1</v>
      </c>
      <c r="F138" s="259">
        <f>IF(AND(F117&gt;='Detailed Feasibility'!$C$58,F117&lt;'Detailed Feasibility'!$D$58),('Detailed Feasibility Inputs'!$F$95/('Detailed Feasibility'!$D$58-'Detailed Feasibility'!$C$58)),0)</f>
        <v>0</v>
      </c>
      <c r="G138" s="259">
        <f>IF(G117="","",IF(AND(G117&gt;='Detailed Feasibility'!$C$58,G117&lt;'Detailed Feasibility'!$D$58),('Detailed Feasibility Inputs'!$F$95/('Detailed Feasibility'!$D$58-'Detailed Feasibility'!$C$58)),0))</f>
        <v>0</v>
      </c>
      <c r="H138" s="259">
        <f>IF(H117="","",IF(AND(H117&gt;='Detailed Feasibility'!$C$58,H117&lt;'Detailed Feasibility'!$D$58),('Detailed Feasibility Inputs'!$F$95/('Detailed Feasibility'!$D$58-'Detailed Feasibility'!$C$58)),0))</f>
        <v>24352.941176470587</v>
      </c>
      <c r="I138" s="259">
        <f>IF(I117="","",IF(AND(I117&gt;='Detailed Feasibility'!$C$58,I117&lt;'Detailed Feasibility'!$D$58),('Detailed Feasibility Inputs'!$F$95/('Detailed Feasibility'!$D$58-'Detailed Feasibility'!$C$58)),0))</f>
        <v>24352.941176470587</v>
      </c>
      <c r="J138" s="259">
        <f>IF(J117="","",IF(AND(J117&gt;='Detailed Feasibility'!$C$58,J117&lt;'Detailed Feasibility'!$D$58),('Detailed Feasibility Inputs'!$F$95/('Detailed Feasibility'!$D$58-'Detailed Feasibility'!$C$58)),0))</f>
        <v>24352.941176470587</v>
      </c>
      <c r="K138" s="259">
        <f>IF(K117="","",IF(AND(K117&gt;='Detailed Feasibility'!$C$58,K117&lt;'Detailed Feasibility'!$D$58),('Detailed Feasibility Inputs'!$F$95/('Detailed Feasibility'!$D$58-'Detailed Feasibility'!$C$58)),0))</f>
        <v>24352.941176470587</v>
      </c>
      <c r="L138" s="259">
        <f>IF(L117="","",IF(AND(L117&gt;='Detailed Feasibility'!$C$58,L117&lt;'Detailed Feasibility'!$D$58),('Detailed Feasibility Inputs'!$F$95/('Detailed Feasibility'!$D$58-'Detailed Feasibility'!$C$58)),0))</f>
        <v>24352.941176470587</v>
      </c>
      <c r="M138" s="259">
        <f>IF(M117="","",IF(AND(M117&gt;='Detailed Feasibility'!$C$58,M117&lt;'Detailed Feasibility'!$D$58),('Detailed Feasibility Inputs'!$F$95/('Detailed Feasibility'!$D$58-'Detailed Feasibility'!$C$58)),0))</f>
        <v>24352.941176470587</v>
      </c>
      <c r="N138" s="259">
        <f>IF(N117="","",IF(AND(N117&gt;='Detailed Feasibility'!$C$58,N117&lt;'Detailed Feasibility'!$D$58),('Detailed Feasibility Inputs'!$F$95/('Detailed Feasibility'!$D$58-'Detailed Feasibility'!$C$58)),0))</f>
        <v>24352.941176470587</v>
      </c>
      <c r="O138" s="259">
        <f>IF(O117="","",IF(AND(O117&gt;='Detailed Feasibility'!$C$58,O117&lt;'Detailed Feasibility'!$D$58),('Detailed Feasibility Inputs'!$F$95/('Detailed Feasibility'!$D$58-'Detailed Feasibility'!$C$58)),0))</f>
        <v>24352.941176470587</v>
      </c>
      <c r="P138" s="259">
        <f>IF(P117="","",IF(AND(P117&gt;='Detailed Feasibility'!$C$58,P117&lt;'Detailed Feasibility'!$D$58),('Detailed Feasibility Inputs'!$F$95/('Detailed Feasibility'!$D$58-'Detailed Feasibility'!$C$58)),0))</f>
        <v>24352.941176470587</v>
      </c>
      <c r="Q138" s="259">
        <f>IF(Q117="","",IF(AND(Q117&gt;='Detailed Feasibility'!$C$58,Q117&lt;'Detailed Feasibility'!$D$58),('Detailed Feasibility Inputs'!$F$95/('Detailed Feasibility'!$D$58-'Detailed Feasibility'!$C$58)),0))</f>
        <v>24352.941176470587</v>
      </c>
      <c r="R138" s="259">
        <f>IF(R117="","",IF(AND(R117&gt;='Detailed Feasibility'!$C$58,R117&lt;'Detailed Feasibility'!$D$58),('Detailed Feasibility Inputs'!$F$95/('Detailed Feasibility'!$D$58-'Detailed Feasibility'!$C$58)),0))</f>
        <v>24352.941176470587</v>
      </c>
      <c r="S138" s="259">
        <f>IF(S117="","",IF(AND(S117&gt;='Detailed Feasibility'!$C$58,S117&lt;'Detailed Feasibility'!$D$58),('Detailed Feasibility Inputs'!$F$95/('Detailed Feasibility'!$D$58-'Detailed Feasibility'!$C$58)),0))</f>
        <v>24352.941176470587</v>
      </c>
      <c r="T138" s="259">
        <f>IF(T117="","",IF(AND(T117&gt;='Detailed Feasibility'!$C$58,T117&lt;'Detailed Feasibility'!$D$58),('Detailed Feasibility Inputs'!$F$95/('Detailed Feasibility'!$D$58-'Detailed Feasibility'!$C$58)),0))</f>
        <v>24352.941176470587</v>
      </c>
      <c r="U138" s="259">
        <f>IF(U117="","",IF(AND(U117&gt;='Detailed Feasibility'!$C$58,U117&lt;'Detailed Feasibility'!$D$58),('Detailed Feasibility Inputs'!$F$95/('Detailed Feasibility'!$D$58-'Detailed Feasibility'!$C$58)),0))</f>
        <v>24352.941176470587</v>
      </c>
      <c r="V138" s="259">
        <f>IF(V117="","",IF(AND(V117&gt;='Detailed Feasibility'!$C$58,V117&lt;'Detailed Feasibility'!$D$58),('Detailed Feasibility Inputs'!$F$95/('Detailed Feasibility'!$D$58-'Detailed Feasibility'!$C$58)),0))</f>
        <v>24352.941176470587</v>
      </c>
      <c r="W138" s="259">
        <f>IF(W117="","",IF(AND(W117&gt;='Detailed Feasibility'!$C$58,W117&lt;'Detailed Feasibility'!$D$58),('Detailed Feasibility Inputs'!$F$95/('Detailed Feasibility'!$D$58-'Detailed Feasibility'!$C$58)),0))</f>
        <v>24352.941176470587</v>
      </c>
      <c r="X138" s="259">
        <f>IF(X117="","",IF(AND(X117&gt;='Detailed Feasibility'!$C$58,X117&lt;'Detailed Feasibility'!$D$58),('Detailed Feasibility Inputs'!$F$95/('Detailed Feasibility'!$D$58-'Detailed Feasibility'!$C$58)),0))</f>
        <v>24352.941176470587</v>
      </c>
      <c r="Y138" s="259">
        <f>IF(Y117="","",IF(AND(Y117&gt;='Detailed Feasibility'!$C$58,Y117&lt;'Detailed Feasibility'!$D$58),('Detailed Feasibility Inputs'!$F$95/('Detailed Feasibility'!$D$58-'Detailed Feasibility'!$C$58)),0))</f>
        <v>0</v>
      </c>
      <c r="Z138" s="259">
        <f>IF(Z117="","",IF(AND(Z117&gt;='Detailed Feasibility'!$C$58,Z117&lt;'Detailed Feasibility'!$D$58),('Detailed Feasibility Inputs'!$F$95/('Detailed Feasibility'!$D$58-'Detailed Feasibility'!$C$58)),0))</f>
        <v>0</v>
      </c>
      <c r="AA138" s="259">
        <f>IF(AA117="","",IF(AND(AA117&gt;='Detailed Feasibility'!$C$58,AA117&lt;'Detailed Feasibility'!$D$58),('Detailed Feasibility Inputs'!$F$95/('Detailed Feasibility'!$D$58-'Detailed Feasibility'!$C$58)),0))</f>
        <v>0</v>
      </c>
      <c r="AB138" s="259">
        <f>IF(AB117="","",IF(AND(AB117&gt;='Detailed Feasibility'!$C$58,AB117&lt;'Detailed Feasibility'!$D$58),('Detailed Feasibility Inputs'!$F$95/('Detailed Feasibility'!$D$58-'Detailed Feasibility'!$C$58)),0))</f>
        <v>0</v>
      </c>
      <c r="AC138" s="259">
        <f>IF(AC117="","",IF(AND(AC117&gt;='Detailed Feasibility'!$C$58,AC117&lt;'Detailed Feasibility'!$D$58),('Detailed Feasibility Inputs'!$F$95/('Detailed Feasibility'!$D$58-'Detailed Feasibility'!$C$58)),0))</f>
        <v>0</v>
      </c>
      <c r="AD138" s="259">
        <f>IF(AD117="","",IF(AND(AD117&gt;='Detailed Feasibility'!$C$58,AD117&lt;'Detailed Feasibility'!$D$58),('Detailed Feasibility Inputs'!$F$95/('Detailed Feasibility'!$D$58-'Detailed Feasibility'!$C$58)),0))</f>
        <v>0</v>
      </c>
      <c r="AE138" s="259">
        <f>IF(AE117="","",IF(AND(AE117&gt;='Detailed Feasibility'!$C$58,AE117&lt;'Detailed Feasibility'!$D$58),('Detailed Feasibility Inputs'!$F$95/('Detailed Feasibility'!$D$58-'Detailed Feasibility'!$C$58)),0))</f>
        <v>0</v>
      </c>
      <c r="AF138" s="259" t="str">
        <f>IF(AF117="","",IF(AND(AF117&gt;='Detailed Feasibility'!$C$58,AF117&lt;'Detailed Feasibility'!$D$58),('Detailed Feasibility Inputs'!$F$95/('Detailed Feasibility'!$D$58-'Detailed Feasibility'!$C$58)),0))</f>
        <v/>
      </c>
      <c r="AG138" s="259" t="str">
        <f>IF(AG117="","",IF(AND(AG117&gt;='Detailed Feasibility'!$C$58,AG117&lt;'Detailed Feasibility'!$D$58),('Detailed Feasibility Inputs'!$F$95/('Detailed Feasibility'!$D$58-'Detailed Feasibility'!$C$58)),0))</f>
        <v/>
      </c>
      <c r="AH138" s="259" t="str">
        <f>IF(AH117="","",IF(AND(AH117&gt;='Detailed Feasibility'!$C$58,AH117&lt;'Detailed Feasibility'!$D$58),('Detailed Feasibility Inputs'!$F$95/('Detailed Feasibility'!$D$58-'Detailed Feasibility'!$C$58)),0))</f>
        <v/>
      </c>
      <c r="AI138" s="259" t="str">
        <f>IF(AI117="","",IF(AND(AI117&gt;='Detailed Feasibility'!$C$58,AI117&lt;'Detailed Feasibility'!$D$58),('Detailed Feasibility Inputs'!$F$95/('Detailed Feasibility'!$D$58-'Detailed Feasibility'!$C$58)),0))</f>
        <v/>
      </c>
      <c r="AJ138" s="259" t="str">
        <f>IF(AJ117="","",IF(AND(AJ117&gt;='Detailed Feasibility'!$C$58,AJ117&lt;'Detailed Feasibility'!$D$58),('Detailed Feasibility Inputs'!$F$95/('Detailed Feasibility'!$D$58-'Detailed Feasibility'!$C$58)),0))</f>
        <v/>
      </c>
      <c r="AK138" s="259" t="str">
        <f>IF(AK117="","",IF(AND(AK117&gt;='Detailed Feasibility'!$C$58,AK117&lt;'Detailed Feasibility'!$D$58),('Detailed Feasibility Inputs'!$F$95/('Detailed Feasibility'!$D$58-'Detailed Feasibility'!$C$58)),0))</f>
        <v/>
      </c>
      <c r="AL138" s="259" t="str">
        <f>IF(AL117="","",IF(AND(AL117&gt;='Detailed Feasibility'!$C$58,AL117&lt;'Detailed Feasibility'!$D$58),('Detailed Feasibility Inputs'!$F$95/('Detailed Feasibility'!$D$58-'Detailed Feasibility'!$C$58)),0))</f>
        <v/>
      </c>
      <c r="AM138" s="259" t="str">
        <f>IF(AM117="","",IF(AND(AM117&gt;='Detailed Feasibility'!$C$58,AM117&lt;'Detailed Feasibility'!$D$58),('Detailed Feasibility Inputs'!$F$95/('Detailed Feasibility'!$D$58-'Detailed Feasibility'!$C$58)),0))</f>
        <v/>
      </c>
      <c r="AN138" s="259" t="str">
        <f>IF(AN117="","",IF(AND(AN117&gt;='Detailed Feasibility'!$C$58,AN117&lt;'Detailed Feasibility'!$D$58),('Detailed Feasibility Inputs'!$F$95/('Detailed Feasibility'!$D$58-'Detailed Feasibility'!$C$58)),0))</f>
        <v/>
      </c>
      <c r="AO138" s="259" t="str">
        <f>IF(AO117="","",IF(AND(AO117&gt;='Detailed Feasibility'!$C$58,AO117&lt;'Detailed Feasibility'!$D$58),('Detailed Feasibility Inputs'!$F$95/('Detailed Feasibility'!$D$58-'Detailed Feasibility'!$C$58)),0))</f>
        <v/>
      </c>
      <c r="AP138" s="259" t="str">
        <f>IF(AP117="","",IF(AND(AP117&gt;='Detailed Feasibility'!$C$58,AP117&lt;'Detailed Feasibility'!$D$58),('Detailed Feasibility Inputs'!$F$95/('Detailed Feasibility'!$D$58-'Detailed Feasibility'!$C$58)),0))</f>
        <v/>
      </c>
      <c r="AQ138" s="259" t="str">
        <f>IF(AQ117="","",IF(AND(AQ117&gt;='Detailed Feasibility'!$C$58,AQ117&lt;'Detailed Feasibility'!$D$58),('Detailed Feasibility Inputs'!$F$95/('Detailed Feasibility'!$D$58-'Detailed Feasibility'!$C$58)),0))</f>
        <v/>
      </c>
      <c r="AR138" s="259" t="str">
        <f>IF(AR117="","",IF(AND(AR117&gt;='Detailed Feasibility'!$C$58,AR117&lt;'Detailed Feasibility'!$D$58),('Detailed Feasibility Inputs'!$F$95/('Detailed Feasibility'!$D$58-'Detailed Feasibility'!$C$58)),0))</f>
        <v/>
      </c>
      <c r="AS138" s="259" t="str">
        <f>IF(AS117="","",IF(AND(AS117&gt;='Detailed Feasibility'!$C$58,AS117&lt;'Detailed Feasibility'!$D$58),('Detailed Feasibility Inputs'!$F$95/('Detailed Feasibility'!$D$58-'Detailed Feasibility'!$C$58)),0))</f>
        <v/>
      </c>
      <c r="AT138" s="259" t="str">
        <f>IF(AT117="","",IF(AND(AT117&gt;='Detailed Feasibility'!$C$58,AT117&lt;'Detailed Feasibility'!$D$58),('Detailed Feasibility Inputs'!$F$95/('Detailed Feasibility'!$D$58-'Detailed Feasibility'!$C$58)),0))</f>
        <v/>
      </c>
      <c r="AU138" s="259" t="str">
        <f>IF(AU117="","",IF(AND(AU117&gt;='Detailed Feasibility'!$C$58,AU117&lt;'Detailed Feasibility'!$D$58),('Detailed Feasibility Inputs'!$F$95/('Detailed Feasibility'!$D$58-'Detailed Feasibility'!$C$58)),0))</f>
        <v/>
      </c>
      <c r="AV138" s="259" t="str">
        <f>IF(AV117="","",IF(AND(AV117&gt;='Detailed Feasibility'!$C$58,AV117&lt;'Detailed Feasibility'!$D$58),('Detailed Feasibility Inputs'!$F$95/('Detailed Feasibility'!$D$58-'Detailed Feasibility'!$C$58)),0))</f>
        <v/>
      </c>
      <c r="AW138" s="259" t="str">
        <f>IF(AW117="","",IF(AND(AW117&gt;='Detailed Feasibility'!$C$58,AW117&lt;'Detailed Feasibility'!$D$58),('Detailed Feasibility Inputs'!$F$95/('Detailed Feasibility'!$D$58-'Detailed Feasibility'!$C$58)),0))</f>
        <v/>
      </c>
      <c r="AX138" s="259" t="str">
        <f>IF(AX117="","",IF(AND(AX117&gt;='Detailed Feasibility'!$C$58,AX117&lt;'Detailed Feasibility'!$D$58),('Detailed Feasibility Inputs'!$F$95/('Detailed Feasibility'!$D$58-'Detailed Feasibility'!$C$58)),0))</f>
        <v/>
      </c>
      <c r="AY138" s="259" t="str">
        <f>IF(AY117="","",IF(AND(AY117&gt;='Detailed Feasibility'!$C$58,AY117&lt;'Detailed Feasibility'!$D$58),('Detailed Feasibility Inputs'!$F$95/('Detailed Feasibility'!$D$58-'Detailed Feasibility'!$C$58)),0))</f>
        <v/>
      </c>
      <c r="AZ138" s="259" t="str">
        <f>IF(AZ117="","",IF(AND(AZ117&gt;='Detailed Feasibility'!$C$58,AZ117&lt;'Detailed Feasibility'!$D$58),('Detailed Feasibility Inputs'!$F$95/('Detailed Feasibility'!$D$58-'Detailed Feasibility'!$C$58)),0))</f>
        <v/>
      </c>
      <c r="BA138" s="259" t="str">
        <f>IF(BA117="","",IF(AND(BA117&gt;='Detailed Feasibility'!$C$58,BA117&lt;'Detailed Feasibility'!$D$58),('Detailed Feasibility Inputs'!$F$95/('Detailed Feasibility'!$D$58-'Detailed Feasibility'!$C$58)),0))</f>
        <v/>
      </c>
      <c r="BB138" s="259" t="str">
        <f>IF(BB117="","",IF(AND(BB117&gt;='Detailed Feasibility'!$C$58,BB117&lt;'Detailed Feasibility'!$D$58),('Detailed Feasibility Inputs'!$F$95/('Detailed Feasibility'!$D$58-'Detailed Feasibility'!$C$58)),0))</f>
        <v/>
      </c>
      <c r="BC138" s="259" t="str">
        <f>IF(BC117="","",IF(AND(BC117&gt;='Detailed Feasibility'!$C$58,BC117&lt;'Detailed Feasibility'!$D$58),('Detailed Feasibility Inputs'!$F$95/('Detailed Feasibility'!$D$58-'Detailed Feasibility'!$C$58)),0))</f>
        <v/>
      </c>
      <c r="BD138" s="259" t="str">
        <f>IF(BD117="","",IF(AND(BD117&gt;='Detailed Feasibility'!$C$58,BD117&lt;'Detailed Feasibility'!$D$58),('Detailed Feasibility Inputs'!$F$95/('Detailed Feasibility'!$D$58-'Detailed Feasibility'!$C$58)),0))</f>
        <v/>
      </c>
      <c r="BE138" s="259" t="str">
        <f>IF(BE117="","",IF(AND(BE117&gt;='Detailed Feasibility'!$C$58,BE117&lt;'Detailed Feasibility'!$D$58),('Detailed Feasibility Inputs'!$F$95/('Detailed Feasibility'!$D$58-'Detailed Feasibility'!$C$58)),0))</f>
        <v/>
      </c>
      <c r="BF138" s="259" t="str">
        <f>IF(BF117="","",IF(AND(BF117&gt;='Detailed Feasibility'!$C$58,BF117&lt;'Detailed Feasibility'!$D$58),('Detailed Feasibility Inputs'!$F$95/('Detailed Feasibility'!$D$58-'Detailed Feasibility'!$C$58)),0))</f>
        <v/>
      </c>
      <c r="BG138" s="259" t="str">
        <f>IF(BG117="","",IF(AND(BG117&gt;='Detailed Feasibility'!$C$58,BG117&lt;'Detailed Feasibility'!$D$58),('Detailed Feasibility Inputs'!$F$95/('Detailed Feasibility'!$D$58-'Detailed Feasibility'!$C$58)),0))</f>
        <v/>
      </c>
      <c r="BH138" s="259" t="str">
        <f>IF(BH117="","",IF(AND(BH117&gt;='Detailed Feasibility'!$C$58,BH117&lt;'Detailed Feasibility'!$D$58),('Detailed Feasibility Inputs'!$F$95/('Detailed Feasibility'!$D$58-'Detailed Feasibility'!$C$58)),0))</f>
        <v/>
      </c>
      <c r="BI138" s="259" t="str">
        <f>IF(BI117="","",IF(AND(BI117&gt;='Detailed Feasibility'!$C$58,BI117&lt;'Detailed Feasibility'!$D$58),('Detailed Feasibility Inputs'!$F$95/('Detailed Feasibility'!$D$58-'Detailed Feasibility'!$C$58)),0))</f>
        <v/>
      </c>
      <c r="BJ138" s="259" t="str">
        <f>IF(BJ117="","",IF(AND(BJ117&gt;='Detailed Feasibility'!$C$58,BJ117&lt;'Detailed Feasibility'!$D$58),('Detailed Feasibility Inputs'!$F$95/('Detailed Feasibility'!$D$58-'Detailed Feasibility'!$C$58)),0))</f>
        <v/>
      </c>
      <c r="BK138" s="259" t="str">
        <f>IF(BK117="","",IF(AND(BK117&gt;='Detailed Feasibility'!$C$58,BK117&lt;'Detailed Feasibility'!$D$58),('Detailed Feasibility Inputs'!$F$95/('Detailed Feasibility'!$D$58-'Detailed Feasibility'!$C$58)),0))</f>
        <v/>
      </c>
      <c r="BL138" s="259" t="str">
        <f>IF(BL117="","",IF(AND(BL117&gt;='Detailed Feasibility'!$C$58,BL117&lt;'Detailed Feasibility'!$D$58),('Detailed Feasibility Inputs'!$F$95/('Detailed Feasibility'!$D$58-'Detailed Feasibility'!$C$58)),0))</f>
        <v/>
      </c>
      <c r="BM138" s="260" t="str">
        <f>IF(BM117="","",IF(AND(BM117&gt;='Detailed Feasibility'!$C$58,BM117&lt;'Detailed Feasibility'!$D$58),('Detailed Feasibility Inputs'!$F$95/('Detailed Feasibility'!$D$58-'Detailed Feasibility'!$C$58)),0))</f>
        <v/>
      </c>
    </row>
    <row r="139" spans="2:65" s="198" customFormat="1" x14ac:dyDescent="0.25">
      <c r="B139" s="256" t="s">
        <v>221</v>
      </c>
      <c r="C139" s="158"/>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c r="BH139" s="159"/>
      <c r="BI139" s="159"/>
      <c r="BJ139" s="159"/>
      <c r="BK139" s="159"/>
      <c r="BL139" s="159"/>
      <c r="BM139" s="55"/>
    </row>
    <row r="140" spans="2:65" s="198" customFormat="1" x14ac:dyDescent="0.25">
      <c r="B140" s="353" t="str">
        <f t="shared" ref="B140:B145" si="29">B93</f>
        <v>1 Bed</v>
      </c>
      <c r="C140" s="736"/>
      <c r="D140" s="212">
        <f>'Detailed Feasibility Inputs'!F40</f>
        <v>250000</v>
      </c>
      <c r="E140" s="736">
        <f>IF(SUM(F140:BM140)=D140,1,0)</f>
        <v>1</v>
      </c>
      <c r="F140" s="259">
        <f>SUMIFS('Detailed Feasibility'!$M$65:$M$86,$C$65:$C$86,'Detailed Feasibility'!$B$140,'Detailed Feasibility'!$E$65:$E$86,'Detailed Feasibility'!F117)+SUMIFS($N$65:$N$86,$C$65:$C$86,$B$140,$F$65:$F$86,F117)+SUMIFS($O$65:$O$86,$C$65:$C$86,$B$140,$G$65:$G$86,F117)</f>
        <v>0</v>
      </c>
      <c r="G140" s="259">
        <f>IF(G117="","",SUMIFS('Detailed Feasibility'!$M$65:$M$86,$C$65:$C$86,'Detailed Feasibility'!$B$140,'Detailed Feasibility'!$E$65:$E$86,'Detailed Feasibility'!G117)+SUMIFS($N$65:$N$86,$C$65:$C$86,$B$140,$F$65:$F$86,G117)+SUMIFS($O$65:$O$86,$C$65:$C$86,$B$140,$G$65:$G$86,G117))</f>
        <v>0</v>
      </c>
      <c r="H140" s="259">
        <f>IF(H117="","",SUMIFS('Detailed Feasibility'!$M$65:$M$86,$C$65:$C$86,'Detailed Feasibility'!$B$140,'Detailed Feasibility'!$E$65:$E$86,'Detailed Feasibility'!H117)+SUMIFS($N$65:$N$86,$C$65:$C$86,$B$140,$F$65:$F$86,H117)+SUMIFS($O$65:$O$86,$C$65:$C$86,$B$140,$G$65:$G$86,H117))</f>
        <v>0</v>
      </c>
      <c r="I140" s="259">
        <f>IF(I117="","",SUMIFS('Detailed Feasibility'!$M$65:$M$86,$C$65:$C$86,'Detailed Feasibility'!$B$140,'Detailed Feasibility'!$E$65:$E$86,'Detailed Feasibility'!I117)+SUMIFS($N$65:$N$86,$C$65:$C$86,$B$140,$F$65:$F$86,I117)+SUMIFS($O$65:$O$86,$C$65:$C$86,$B$140,$G$65:$G$86,I117))</f>
        <v>0</v>
      </c>
      <c r="J140" s="259">
        <f>IF(J117="","",SUMIFS('Detailed Feasibility'!$M$65:$M$86,$C$65:$C$86,'Detailed Feasibility'!$B$140,'Detailed Feasibility'!$E$65:$E$86,'Detailed Feasibility'!J117)+SUMIFS($N$65:$N$86,$C$65:$C$86,$B$140,$F$65:$F$86,J117)+SUMIFS($O$65:$O$86,$C$65:$C$86,$B$140,$G$65:$G$86,J117))</f>
        <v>0</v>
      </c>
      <c r="K140" s="259">
        <f>IF(K117="","",SUMIFS('Detailed Feasibility'!$M$65:$M$86,$C$65:$C$86,'Detailed Feasibility'!$B$140,'Detailed Feasibility'!$E$65:$E$86,'Detailed Feasibility'!K117)+SUMIFS($N$65:$N$86,$C$65:$C$86,$B$140,$F$65:$F$86,K117)+SUMIFS($O$65:$O$86,$C$65:$C$86,$B$140,$G$65:$G$86,K117))</f>
        <v>0</v>
      </c>
      <c r="L140" s="259">
        <f>IF(L117="","",SUMIFS('Detailed Feasibility'!$M$65:$M$86,$C$65:$C$86,'Detailed Feasibility'!$B$140,'Detailed Feasibility'!$E$65:$E$86,'Detailed Feasibility'!L117)+SUMIFS($N$65:$N$86,$C$65:$C$86,$B$140,$F$65:$F$86,L117)+SUMIFS($O$65:$O$86,$C$65:$C$86,$B$140,$G$65:$G$86,L117))</f>
        <v>0</v>
      </c>
      <c r="M140" s="259">
        <f>IF(M117="","",SUMIFS('Detailed Feasibility'!$M$65:$M$86,$C$65:$C$86,'Detailed Feasibility'!$B$140,'Detailed Feasibility'!$E$65:$E$86,'Detailed Feasibility'!M117)+SUMIFS($N$65:$N$86,$C$65:$C$86,$B$140,$F$65:$F$86,M117)+SUMIFS($O$65:$O$86,$C$65:$C$86,$B$140,$G$65:$G$86,M117))</f>
        <v>0</v>
      </c>
      <c r="N140" s="259">
        <f>IF(N117="","",SUMIFS('Detailed Feasibility'!$M$65:$M$86,$C$65:$C$86,'Detailed Feasibility'!$B$140,'Detailed Feasibility'!$E$65:$E$86,'Detailed Feasibility'!N117)+SUMIFS($N$65:$N$86,$C$65:$C$86,$B$140,$F$65:$F$86,N117)+SUMIFS($O$65:$O$86,$C$65:$C$86,$B$140,$G$65:$G$86,N117))</f>
        <v>0</v>
      </c>
      <c r="O140" s="259">
        <f>IF(O117="","",SUMIFS('Detailed Feasibility'!$M$65:$M$86,$C$65:$C$86,'Detailed Feasibility'!$B$140,'Detailed Feasibility'!$E$65:$E$86,'Detailed Feasibility'!O117)+SUMIFS($N$65:$N$86,$C$65:$C$86,$B$140,$F$65:$F$86,O117)+SUMIFS($O$65:$O$86,$C$65:$C$86,$B$140,$G$65:$G$86,O117))</f>
        <v>0</v>
      </c>
      <c r="P140" s="259">
        <f>IF(P117="","",SUMIFS('Detailed Feasibility'!$M$65:$M$86,$C$65:$C$86,'Detailed Feasibility'!$B$140,'Detailed Feasibility'!$E$65:$E$86,'Detailed Feasibility'!P117)+SUMIFS($N$65:$N$86,$C$65:$C$86,$B$140,$F$65:$F$86,P117)+SUMIFS($O$65:$O$86,$C$65:$C$86,$B$140,$G$65:$G$86,P117))</f>
        <v>0</v>
      </c>
      <c r="Q140" s="259">
        <f>IF(Q117="","",SUMIFS('Detailed Feasibility'!$M$65:$M$86,$C$65:$C$86,'Detailed Feasibility'!$B$140,'Detailed Feasibility'!$E$65:$E$86,'Detailed Feasibility'!Q117)+SUMIFS($N$65:$N$86,$C$65:$C$86,$B$140,$F$65:$F$86,Q117)+SUMIFS($O$65:$O$86,$C$65:$C$86,$B$140,$G$65:$G$86,Q117))</f>
        <v>83333.333333333328</v>
      </c>
      <c r="R140" s="259">
        <f>IF(R117="","",SUMIFS('Detailed Feasibility'!$M$65:$M$86,$C$65:$C$86,'Detailed Feasibility'!$B$140,'Detailed Feasibility'!$E$65:$E$86,'Detailed Feasibility'!R117)+SUMIFS($N$65:$N$86,$C$65:$C$86,$B$140,$F$65:$F$86,R117)+SUMIFS($O$65:$O$86,$C$65:$C$86,$B$140,$G$65:$G$86,R117))</f>
        <v>0</v>
      </c>
      <c r="S140" s="259">
        <f>IF(S117="","",SUMIFS('Detailed Feasibility'!$M$65:$M$86,$C$65:$C$86,'Detailed Feasibility'!$B$140,'Detailed Feasibility'!$E$65:$E$86,'Detailed Feasibility'!S117)+SUMIFS($N$65:$N$86,$C$65:$C$86,$B$140,$F$65:$F$86,S117)+SUMIFS($O$65:$O$86,$C$65:$C$86,$B$140,$G$65:$G$86,S117))</f>
        <v>0</v>
      </c>
      <c r="T140" s="259">
        <f>IF(T117="","",SUMIFS('Detailed Feasibility'!$M$65:$M$86,$C$65:$C$86,'Detailed Feasibility'!$B$140,'Detailed Feasibility'!$E$65:$E$86,'Detailed Feasibility'!T117)+SUMIFS($N$65:$N$86,$C$65:$C$86,$B$140,$F$65:$F$86,T117)+SUMIFS($O$65:$O$86,$C$65:$C$86,$B$140,$G$65:$G$86,T117))</f>
        <v>0</v>
      </c>
      <c r="U140" s="259">
        <f>IF(U117="","",SUMIFS('Detailed Feasibility'!$M$65:$M$86,$C$65:$C$86,'Detailed Feasibility'!$B$140,'Detailed Feasibility'!$E$65:$E$86,'Detailed Feasibility'!U117)+SUMIFS($N$65:$N$86,$C$65:$C$86,$B$140,$F$65:$F$86,U117)+SUMIFS($O$65:$O$86,$C$65:$C$86,$B$140,$G$65:$G$86,U117))</f>
        <v>0</v>
      </c>
      <c r="V140" s="259">
        <f>IF(V117="","",SUMIFS('Detailed Feasibility'!$M$65:$M$86,$C$65:$C$86,'Detailed Feasibility'!$B$140,'Detailed Feasibility'!$E$65:$E$86,'Detailed Feasibility'!V117)+SUMIFS($N$65:$N$86,$C$65:$C$86,$B$140,$F$65:$F$86,V117)+SUMIFS($O$65:$O$86,$C$65:$C$86,$B$140,$G$65:$G$86,V117))</f>
        <v>0</v>
      </c>
      <c r="W140" s="259">
        <f>IF(W117="","",SUMIFS('Detailed Feasibility'!$M$65:$M$86,$C$65:$C$86,'Detailed Feasibility'!$B$140,'Detailed Feasibility'!$E$65:$E$86,'Detailed Feasibility'!W117)+SUMIFS($N$65:$N$86,$C$65:$C$86,$B$140,$F$65:$F$86,W117)+SUMIFS($O$65:$O$86,$C$65:$C$86,$B$140,$G$65:$G$86,W117))</f>
        <v>83333.333333333328</v>
      </c>
      <c r="X140" s="259">
        <f>IF(X117="","",SUMIFS('Detailed Feasibility'!$M$65:$M$86,$C$65:$C$86,'Detailed Feasibility'!$B$140,'Detailed Feasibility'!$E$65:$E$86,'Detailed Feasibility'!X117)+SUMIFS($N$65:$N$86,$C$65:$C$86,$B$140,$F$65:$F$86,X117)+SUMIFS($O$65:$O$86,$C$65:$C$86,$B$140,$G$65:$G$86,X117))</f>
        <v>0</v>
      </c>
      <c r="Y140" s="259">
        <f>IF(Y117="","",SUMIFS('Detailed Feasibility'!$M$65:$M$86,$C$65:$C$86,'Detailed Feasibility'!$B$140,'Detailed Feasibility'!$E$65:$E$86,'Detailed Feasibility'!Y117)+SUMIFS($N$65:$N$86,$C$65:$C$86,$B$140,$F$65:$F$86,Y117)+SUMIFS($O$65:$O$86,$C$65:$C$86,$B$140,$G$65:$G$86,Y117))</f>
        <v>0</v>
      </c>
      <c r="Z140" s="259">
        <f>IF(Z117="","",SUMIFS('Detailed Feasibility'!$M$65:$M$86,$C$65:$C$86,'Detailed Feasibility'!$B$140,'Detailed Feasibility'!$E$65:$E$86,'Detailed Feasibility'!Z117)+SUMIFS($N$65:$N$86,$C$65:$C$86,$B$140,$F$65:$F$86,Z117)+SUMIFS($O$65:$O$86,$C$65:$C$86,$B$140,$G$65:$G$86,Z117))</f>
        <v>83333.333333333328</v>
      </c>
      <c r="AA140" s="259">
        <f>IF(AA117="","",SUMIFS('Detailed Feasibility'!$M$65:$M$86,$C$65:$C$86,'Detailed Feasibility'!$B$140,'Detailed Feasibility'!$E$65:$E$86,'Detailed Feasibility'!AA117)+SUMIFS($N$65:$N$86,$C$65:$C$86,$B$140,$F$65:$F$86,AA117)+SUMIFS($O$65:$O$86,$C$65:$C$86,$B$140,$G$65:$G$86,AA117))</f>
        <v>0</v>
      </c>
      <c r="AB140" s="259">
        <f>IF(AB117="","",SUMIFS('Detailed Feasibility'!$M$65:$M$86,$C$65:$C$86,'Detailed Feasibility'!$B$140,'Detailed Feasibility'!$E$65:$E$86,'Detailed Feasibility'!AB117)+SUMIFS($N$65:$N$86,$C$65:$C$86,$B$140,$F$65:$F$86,AB117)+SUMIFS($O$65:$O$86,$C$65:$C$86,$B$140,$G$65:$G$86,AB117))</f>
        <v>0</v>
      </c>
      <c r="AC140" s="259">
        <f>IF(AC117="","",SUMIFS('Detailed Feasibility'!$M$65:$M$86,$C$65:$C$86,'Detailed Feasibility'!$B$140,'Detailed Feasibility'!$E$65:$E$86,'Detailed Feasibility'!AC117)+SUMIFS($N$65:$N$86,$C$65:$C$86,$B$140,$F$65:$F$86,AC117)+SUMIFS($O$65:$O$86,$C$65:$C$86,$B$140,$G$65:$G$86,AC117))</f>
        <v>0</v>
      </c>
      <c r="AD140" s="259">
        <f>IF(AD117="","",SUMIFS('Detailed Feasibility'!$M$65:$M$86,$C$65:$C$86,'Detailed Feasibility'!$B$140,'Detailed Feasibility'!$E$65:$E$86,'Detailed Feasibility'!AD117)+SUMIFS($N$65:$N$86,$C$65:$C$86,$B$140,$F$65:$F$86,AD117)+SUMIFS($O$65:$O$86,$C$65:$C$86,$B$140,$G$65:$G$86,AD117))</f>
        <v>0</v>
      </c>
      <c r="AE140" s="259">
        <f>IF(AE117="","",SUMIFS('Detailed Feasibility'!$M$65:$M$86,$C$65:$C$86,'Detailed Feasibility'!$B$140,'Detailed Feasibility'!$E$65:$E$86,'Detailed Feasibility'!AE117)+SUMIFS($N$65:$N$86,$C$65:$C$86,$B$140,$F$65:$F$86,AE117)+SUMIFS($O$65:$O$86,$C$65:$C$86,$B$140,$G$65:$G$86,AE117))</f>
        <v>0</v>
      </c>
      <c r="AF140" s="259" t="str">
        <f>IF(AF117="","",SUMIFS('Detailed Feasibility'!$M$65:$M$86,$C$65:$C$86,'Detailed Feasibility'!$B$140,'Detailed Feasibility'!$E$65:$E$86,'Detailed Feasibility'!AF117)+SUMIFS($N$65:$N$86,$C$65:$C$86,$B$140,$F$65:$F$86,AF117)+SUMIFS($O$65:$O$86,$C$65:$C$86,$B$140,$G$65:$G$86,AF117))</f>
        <v/>
      </c>
      <c r="AG140" s="259" t="str">
        <f>IF(AG117="","",SUMIFS('Detailed Feasibility'!$M$65:$M$86,$C$65:$C$86,'Detailed Feasibility'!$B$140,'Detailed Feasibility'!$E$65:$E$86,'Detailed Feasibility'!AG117)+SUMIFS($N$65:$N$86,$C$65:$C$86,$B$140,$F$65:$F$86,AG117)+SUMIFS($O$65:$O$86,$C$65:$C$86,$B$140,$G$65:$G$86,AG117))</f>
        <v/>
      </c>
      <c r="AH140" s="259" t="str">
        <f>IF(AH117="","",SUMIFS('Detailed Feasibility'!$M$65:$M$86,$C$65:$C$86,'Detailed Feasibility'!$B$140,'Detailed Feasibility'!$E$65:$E$86,'Detailed Feasibility'!AH117)+SUMIFS($N$65:$N$86,$C$65:$C$86,$B$140,$F$65:$F$86,AH117)+SUMIFS($O$65:$O$86,$C$65:$C$86,$B$140,$G$65:$G$86,AH117))</f>
        <v/>
      </c>
      <c r="AI140" s="259" t="str">
        <f>IF(AI117="","",SUMIFS('Detailed Feasibility'!$M$65:$M$86,$C$65:$C$86,'Detailed Feasibility'!$B$140,'Detailed Feasibility'!$E$65:$E$86,'Detailed Feasibility'!AI117)+SUMIFS($N$65:$N$86,$C$65:$C$86,$B$140,$F$65:$F$86,AI117)+SUMIFS($O$65:$O$86,$C$65:$C$86,$B$140,$G$65:$G$86,AI117))</f>
        <v/>
      </c>
      <c r="AJ140" s="259" t="str">
        <f>IF(AJ117="","",SUMIFS('Detailed Feasibility'!$M$65:$M$86,$C$65:$C$86,'Detailed Feasibility'!$B$140,'Detailed Feasibility'!$E$65:$E$86,'Detailed Feasibility'!AJ117)+SUMIFS($N$65:$N$86,$C$65:$C$86,$B$140,$F$65:$F$86,AJ117)+SUMIFS($O$65:$O$86,$C$65:$C$86,$B$140,$G$65:$G$86,AJ117))</f>
        <v/>
      </c>
      <c r="AK140" s="259" t="str">
        <f>IF(AK117="","",SUMIFS('Detailed Feasibility'!$M$65:$M$86,$C$65:$C$86,'Detailed Feasibility'!$B$140,'Detailed Feasibility'!$E$65:$E$86,'Detailed Feasibility'!AK117)+SUMIFS($N$65:$N$86,$C$65:$C$86,$B$140,$F$65:$F$86,AK117)+SUMIFS($O$65:$O$86,$C$65:$C$86,$B$140,$G$65:$G$86,AK117))</f>
        <v/>
      </c>
      <c r="AL140" s="259" t="str">
        <f>IF(AL117="","",SUMIFS('Detailed Feasibility'!$M$65:$M$86,$C$65:$C$86,'Detailed Feasibility'!$B$140,'Detailed Feasibility'!$E$65:$E$86,'Detailed Feasibility'!AL117)+SUMIFS($N$65:$N$86,$C$65:$C$86,$B$140,$F$65:$F$86,AL117)+SUMIFS($O$65:$O$86,$C$65:$C$86,$B$140,$G$65:$G$86,AL117))</f>
        <v/>
      </c>
      <c r="AM140" s="259" t="str">
        <f>IF(AM117="","",SUMIFS('Detailed Feasibility'!$M$65:$M$86,$C$65:$C$86,'Detailed Feasibility'!$B$140,'Detailed Feasibility'!$E$65:$E$86,'Detailed Feasibility'!AM117)+SUMIFS($N$65:$N$86,$C$65:$C$86,$B$140,$F$65:$F$86,AM117)+SUMIFS($O$65:$O$86,$C$65:$C$86,$B$140,$G$65:$G$86,AM117))</f>
        <v/>
      </c>
      <c r="AN140" s="259" t="str">
        <f>IF(AN117="","",SUMIFS('Detailed Feasibility'!$M$65:$M$86,$C$65:$C$86,'Detailed Feasibility'!$B$140,'Detailed Feasibility'!$E$65:$E$86,'Detailed Feasibility'!AN117)+SUMIFS($N$65:$N$86,$C$65:$C$86,$B$140,$F$65:$F$86,AN117)+SUMIFS($O$65:$O$86,$C$65:$C$86,$B$140,$G$65:$G$86,AN117))</f>
        <v/>
      </c>
      <c r="AO140" s="259" t="str">
        <f>IF(AO117="","",SUMIFS('Detailed Feasibility'!$M$65:$M$86,$C$65:$C$86,'Detailed Feasibility'!$B$140,'Detailed Feasibility'!$E$65:$E$86,'Detailed Feasibility'!AO117)+SUMIFS($N$65:$N$86,$C$65:$C$86,$B$140,$F$65:$F$86,AO117)+SUMIFS($O$65:$O$86,$C$65:$C$86,$B$140,$G$65:$G$86,AO117))</f>
        <v/>
      </c>
      <c r="AP140" s="259" t="str">
        <f>IF(AP117="","",SUMIFS('Detailed Feasibility'!$M$65:$M$86,$C$65:$C$86,'Detailed Feasibility'!$B$140,'Detailed Feasibility'!$E$65:$E$86,'Detailed Feasibility'!AP117)+SUMIFS($N$65:$N$86,$C$65:$C$86,$B$140,$F$65:$F$86,AP117)+SUMIFS($O$65:$O$86,$C$65:$C$86,$B$140,$G$65:$G$86,AP117))</f>
        <v/>
      </c>
      <c r="AQ140" s="259" t="str">
        <f>IF(AQ117="","",SUMIFS('Detailed Feasibility'!$M$65:$M$86,$C$65:$C$86,'Detailed Feasibility'!$B$140,'Detailed Feasibility'!$E$65:$E$86,'Detailed Feasibility'!AQ117)+SUMIFS($N$65:$N$86,$C$65:$C$86,$B$140,$F$65:$F$86,AQ117)+SUMIFS($O$65:$O$86,$C$65:$C$86,$B$140,$G$65:$G$86,AQ117))</f>
        <v/>
      </c>
      <c r="AR140" s="259" t="str">
        <f>IF(AR117="","",SUMIFS('Detailed Feasibility'!$M$65:$M$86,$C$65:$C$86,'Detailed Feasibility'!$B$140,'Detailed Feasibility'!$E$65:$E$86,'Detailed Feasibility'!AR117)+SUMIFS($N$65:$N$86,$C$65:$C$86,$B$140,$F$65:$F$86,AR117)+SUMIFS($O$65:$O$86,$C$65:$C$86,$B$140,$G$65:$G$86,AR117))</f>
        <v/>
      </c>
      <c r="AS140" s="259" t="str">
        <f>IF(AS117="","",SUMIFS('Detailed Feasibility'!$M$65:$M$86,$C$65:$C$86,'Detailed Feasibility'!$B$140,'Detailed Feasibility'!$E$65:$E$86,'Detailed Feasibility'!AS117)+SUMIFS($N$65:$N$86,$C$65:$C$86,$B$140,$F$65:$F$86,AS117)+SUMIFS($O$65:$O$86,$C$65:$C$86,$B$140,$G$65:$G$86,AS117))</f>
        <v/>
      </c>
      <c r="AT140" s="259" t="str">
        <f>IF(AT117="","",SUMIFS('Detailed Feasibility'!$M$65:$M$86,$C$65:$C$86,'Detailed Feasibility'!$B$140,'Detailed Feasibility'!$E$65:$E$86,'Detailed Feasibility'!AT117)+SUMIFS($N$65:$N$86,$C$65:$C$86,$B$140,$F$65:$F$86,AT117)+SUMIFS($O$65:$O$86,$C$65:$C$86,$B$140,$G$65:$G$86,AT117))</f>
        <v/>
      </c>
      <c r="AU140" s="259" t="str">
        <f>IF(AU117="","",SUMIFS('Detailed Feasibility'!$M$65:$M$86,$C$65:$C$86,'Detailed Feasibility'!$B$140,'Detailed Feasibility'!$E$65:$E$86,'Detailed Feasibility'!AU117)+SUMIFS($N$65:$N$86,$C$65:$C$86,$B$140,$F$65:$F$86,AU117)+SUMIFS($O$65:$O$86,$C$65:$C$86,$B$140,$G$65:$G$86,AU117))</f>
        <v/>
      </c>
      <c r="AV140" s="259" t="str">
        <f>IF(AV117="","",SUMIFS('Detailed Feasibility'!$M$65:$M$86,$C$65:$C$86,'Detailed Feasibility'!$B$140,'Detailed Feasibility'!$E$65:$E$86,'Detailed Feasibility'!AV117)+SUMIFS($N$65:$N$86,$C$65:$C$86,$B$140,$F$65:$F$86,AV117)+SUMIFS($O$65:$O$86,$C$65:$C$86,$B$140,$G$65:$G$86,AV117))</f>
        <v/>
      </c>
      <c r="AW140" s="259" t="str">
        <f>IF(AW117="","",SUMIFS('Detailed Feasibility'!$M$65:$M$86,$C$65:$C$86,'Detailed Feasibility'!$B$140,'Detailed Feasibility'!$E$65:$E$86,'Detailed Feasibility'!AW117)+SUMIFS($N$65:$N$86,$C$65:$C$86,$B$140,$F$65:$F$86,AW117)+SUMIFS($O$65:$O$86,$C$65:$C$86,$B$140,$G$65:$G$86,AW117))</f>
        <v/>
      </c>
      <c r="AX140" s="259" t="str">
        <f>IF(AX117="","",SUMIFS('Detailed Feasibility'!$M$65:$M$86,$C$65:$C$86,'Detailed Feasibility'!$B$140,'Detailed Feasibility'!$E$65:$E$86,'Detailed Feasibility'!AX117)+SUMIFS($N$65:$N$86,$C$65:$C$86,$B$140,$F$65:$F$86,AX117)+SUMIFS($O$65:$O$86,$C$65:$C$86,$B$140,$G$65:$G$86,AX117))</f>
        <v/>
      </c>
      <c r="AY140" s="259" t="str">
        <f>IF(AY117="","",SUMIFS('Detailed Feasibility'!$M$65:$M$86,$C$65:$C$86,'Detailed Feasibility'!$B$140,'Detailed Feasibility'!$E$65:$E$86,'Detailed Feasibility'!AY117)+SUMIFS($N$65:$N$86,$C$65:$C$86,$B$140,$F$65:$F$86,AY117)+SUMIFS($O$65:$O$86,$C$65:$C$86,$B$140,$G$65:$G$86,AY117))</f>
        <v/>
      </c>
      <c r="AZ140" s="259" t="str">
        <f>IF(AZ117="","",SUMIFS('Detailed Feasibility'!$M$65:$M$86,$C$65:$C$86,'Detailed Feasibility'!$B$140,'Detailed Feasibility'!$E$65:$E$86,'Detailed Feasibility'!AZ117)+SUMIFS($N$65:$N$86,$C$65:$C$86,$B$140,$F$65:$F$86,AZ117)+SUMIFS($O$65:$O$86,$C$65:$C$86,$B$140,$G$65:$G$86,AZ117))</f>
        <v/>
      </c>
      <c r="BA140" s="259" t="str">
        <f>IF(BA117="","",SUMIFS('Detailed Feasibility'!$M$65:$M$86,$C$65:$C$86,'Detailed Feasibility'!$B$140,'Detailed Feasibility'!$E$65:$E$86,'Detailed Feasibility'!BA117)+SUMIFS($N$65:$N$86,$C$65:$C$86,$B$140,$F$65:$F$86,BA117)+SUMIFS($O$65:$O$86,$C$65:$C$86,$B$140,$G$65:$G$86,BA117))</f>
        <v/>
      </c>
      <c r="BB140" s="259" t="str">
        <f>IF(BB117="","",SUMIFS('Detailed Feasibility'!$M$65:$M$86,$C$65:$C$86,'Detailed Feasibility'!$B$140,'Detailed Feasibility'!$E$65:$E$86,'Detailed Feasibility'!BB117)+SUMIFS($N$65:$N$86,$C$65:$C$86,$B$140,$F$65:$F$86,BB117)+SUMIFS($O$65:$O$86,$C$65:$C$86,$B$140,$G$65:$G$86,BB117))</f>
        <v/>
      </c>
      <c r="BC140" s="259" t="str">
        <f>IF(BC117="","",SUMIFS('Detailed Feasibility'!$M$65:$M$86,$C$65:$C$86,'Detailed Feasibility'!$B$140,'Detailed Feasibility'!$E$65:$E$86,'Detailed Feasibility'!BC117)+SUMIFS($N$65:$N$86,$C$65:$C$86,$B$140,$F$65:$F$86,BC117)+SUMIFS($O$65:$O$86,$C$65:$C$86,$B$140,$G$65:$G$86,BC117))</f>
        <v/>
      </c>
      <c r="BD140" s="259" t="str">
        <f>IF(BD117="","",SUMIFS('Detailed Feasibility'!$M$65:$M$86,$C$65:$C$86,'Detailed Feasibility'!$B$140,'Detailed Feasibility'!$E$65:$E$86,'Detailed Feasibility'!BD117)+SUMIFS($N$65:$N$86,$C$65:$C$86,$B$140,$F$65:$F$86,BD117)+SUMIFS($O$65:$O$86,$C$65:$C$86,$B$140,$G$65:$G$86,BD117))</f>
        <v/>
      </c>
      <c r="BE140" s="259" t="str">
        <f>IF(BE117="","",SUMIFS('Detailed Feasibility'!$M$65:$M$86,$C$65:$C$86,'Detailed Feasibility'!$B$140,'Detailed Feasibility'!$E$65:$E$86,'Detailed Feasibility'!BE117)+SUMIFS($N$65:$N$86,$C$65:$C$86,$B$140,$F$65:$F$86,BE117)+SUMIFS($O$65:$O$86,$C$65:$C$86,$B$140,$G$65:$G$86,BE117))</f>
        <v/>
      </c>
      <c r="BF140" s="259" t="str">
        <f>IF(BF117="","",SUMIFS('Detailed Feasibility'!$M$65:$M$86,$C$65:$C$86,'Detailed Feasibility'!$B$140,'Detailed Feasibility'!$E$65:$E$86,'Detailed Feasibility'!BF117)+SUMIFS($N$65:$N$86,$C$65:$C$86,$B$140,$F$65:$F$86,BF117)+SUMIFS($O$65:$O$86,$C$65:$C$86,$B$140,$G$65:$G$86,BF117))</f>
        <v/>
      </c>
      <c r="BG140" s="259" t="str">
        <f>IF(BG117="","",SUMIFS('Detailed Feasibility'!$M$65:$M$86,$C$65:$C$86,'Detailed Feasibility'!$B$140,'Detailed Feasibility'!$E$65:$E$86,'Detailed Feasibility'!BG117)+SUMIFS($N$65:$N$86,$C$65:$C$86,$B$140,$F$65:$F$86,BG117)+SUMIFS($O$65:$O$86,$C$65:$C$86,$B$140,$G$65:$G$86,BG117))</f>
        <v/>
      </c>
      <c r="BH140" s="259" t="str">
        <f>IF(BH117="","",SUMIFS('Detailed Feasibility'!$M$65:$M$86,$C$65:$C$86,'Detailed Feasibility'!$B$140,'Detailed Feasibility'!$E$65:$E$86,'Detailed Feasibility'!BH117)+SUMIFS($N$65:$N$86,$C$65:$C$86,$B$140,$F$65:$F$86,BH117)+SUMIFS($O$65:$O$86,$C$65:$C$86,$B$140,$G$65:$G$86,BH117))</f>
        <v/>
      </c>
      <c r="BI140" s="259" t="str">
        <f>IF(BI117="","",SUMIFS('Detailed Feasibility'!$M$65:$M$86,$C$65:$C$86,'Detailed Feasibility'!$B$140,'Detailed Feasibility'!$E$65:$E$86,'Detailed Feasibility'!BI117)+SUMIFS($N$65:$N$86,$C$65:$C$86,$B$140,$F$65:$F$86,BI117)+SUMIFS($O$65:$O$86,$C$65:$C$86,$B$140,$G$65:$G$86,BI117))</f>
        <v/>
      </c>
      <c r="BJ140" s="259" t="str">
        <f>IF(BJ117="","",SUMIFS('Detailed Feasibility'!$M$65:$M$86,$C$65:$C$86,'Detailed Feasibility'!$B$140,'Detailed Feasibility'!$E$65:$E$86,'Detailed Feasibility'!BJ117)+SUMIFS($N$65:$N$86,$C$65:$C$86,$B$140,$F$65:$F$86,BJ117)+SUMIFS($O$65:$O$86,$C$65:$C$86,$B$140,$G$65:$G$86,BJ117))</f>
        <v/>
      </c>
      <c r="BK140" s="259" t="str">
        <f>IF(BK117="","",SUMIFS('Detailed Feasibility'!$M$65:$M$86,$C$65:$C$86,'Detailed Feasibility'!$B$140,'Detailed Feasibility'!$E$65:$E$86,'Detailed Feasibility'!BK117)+SUMIFS($N$65:$N$86,$C$65:$C$86,$B$140,$F$65:$F$86,BK117)+SUMIFS($O$65:$O$86,$C$65:$C$86,$B$140,$G$65:$G$86,BK117))</f>
        <v/>
      </c>
      <c r="BL140" s="259" t="str">
        <f>IF(BL117="","",SUMIFS('Detailed Feasibility'!$M$65:$M$86,$C$65:$C$86,'Detailed Feasibility'!$B$140,'Detailed Feasibility'!$E$65:$E$86,'Detailed Feasibility'!BL117)+SUMIFS($N$65:$N$86,$C$65:$C$86,$B$140,$F$65:$F$86,BL117)+SUMIFS($O$65:$O$86,$C$65:$C$86,$B$140,$G$65:$G$86,BL117))</f>
        <v/>
      </c>
      <c r="BM140" s="260" t="str">
        <f>IF(BM117="","",SUMIFS('Detailed Feasibility'!$M$65:$M$86,$C$65:$C$86,'Detailed Feasibility'!$B$140,'Detailed Feasibility'!$E$65:$E$86,'Detailed Feasibility'!BM117)+SUMIFS($N$65:$N$86,$C$65:$C$86,$B$140,$F$65:$F$86,BM117)+SUMIFS($O$65:$O$86,$C$65:$C$86,$B$140,$G$65:$G$86,BM117))</f>
        <v/>
      </c>
    </row>
    <row r="141" spans="2:65" s="198" customFormat="1" x14ac:dyDescent="0.25">
      <c r="B141" s="353" t="str">
        <f t="shared" si="29"/>
        <v>2 Bed</v>
      </c>
      <c r="C141" s="736"/>
      <c r="D141" s="212">
        <f>'Detailed Feasibility Inputs'!F41</f>
        <v>350000</v>
      </c>
      <c r="E141" s="736">
        <f t="shared" ref="E141:E145" si="30">IF(SUM(F141:BM141)=D141,1,0)</f>
        <v>1</v>
      </c>
      <c r="F141" s="259">
        <f>SUMIFS('Detailed Feasibility'!$M$65:$M$86,$C$65:$C$86,'Detailed Feasibility'!$B$141,'Detailed Feasibility'!$E$65:$E$86,'Detailed Feasibility'!F117)+SUMIFS($N$65:$N$86,$C$65:$C$86,$B$141,$F$65:$F$86,F117)+SUMIFS($O$65:$O$86,$C$65:$C$86,$B$141,$G$65:$G$86,F117)</f>
        <v>0</v>
      </c>
      <c r="G141" s="259">
        <f>IF(G117="","",SUMIFS('Detailed Feasibility'!$M$65:$M$86,$C$65:$C$86,'Detailed Feasibility'!$B$141,'Detailed Feasibility'!$E$65:$E$86,'Detailed Feasibility'!G117)+SUMIFS($N$65:$N$86,$C$65:$C$86,$B$141,$F$65:$F$86,G117)+SUMIFS($O$65:$O$86,$C$65:$C$86,$B$141,$G$65:$G$86,G117))</f>
        <v>0</v>
      </c>
      <c r="H141" s="259">
        <f>IF(H117="","",SUMIFS('Detailed Feasibility'!$M$65:$M$86,$C$65:$C$86,'Detailed Feasibility'!$B$141,'Detailed Feasibility'!$E$65:$E$86,'Detailed Feasibility'!H117)+SUMIFS($N$65:$N$86,$C$65:$C$86,$B$141,$F$65:$F$86,H117)+SUMIFS($O$65:$O$86,$C$65:$C$86,$B$141,$G$65:$G$86,H117))</f>
        <v>0</v>
      </c>
      <c r="I141" s="259">
        <f>IF(I117="","",SUMIFS('Detailed Feasibility'!$M$65:$M$86,$C$65:$C$86,'Detailed Feasibility'!$B$141,'Detailed Feasibility'!$E$65:$E$86,'Detailed Feasibility'!I117)+SUMIFS($N$65:$N$86,$C$65:$C$86,$B$141,$F$65:$F$86,I117)+SUMIFS($O$65:$O$86,$C$65:$C$86,$B$141,$G$65:$G$86,I117))</f>
        <v>0</v>
      </c>
      <c r="J141" s="259">
        <f>IF(J117="","",SUMIFS('Detailed Feasibility'!$M$65:$M$86,$C$65:$C$86,'Detailed Feasibility'!$B$141,'Detailed Feasibility'!$E$65:$E$86,'Detailed Feasibility'!J117)+SUMIFS($N$65:$N$86,$C$65:$C$86,$B$141,$F$65:$F$86,J117)+SUMIFS($O$65:$O$86,$C$65:$C$86,$B$141,$G$65:$G$86,J117))</f>
        <v>0</v>
      </c>
      <c r="K141" s="259">
        <f>IF(K117="","",SUMIFS('Detailed Feasibility'!$M$65:$M$86,$C$65:$C$86,'Detailed Feasibility'!$B$141,'Detailed Feasibility'!$E$65:$E$86,'Detailed Feasibility'!K117)+SUMIFS($N$65:$N$86,$C$65:$C$86,$B$141,$F$65:$F$86,K117)+SUMIFS($O$65:$O$86,$C$65:$C$86,$B$141,$G$65:$G$86,K117))</f>
        <v>0</v>
      </c>
      <c r="L141" s="259">
        <f>IF(L117="","",SUMIFS('Detailed Feasibility'!$M$65:$M$86,$C$65:$C$86,'Detailed Feasibility'!$B$141,'Detailed Feasibility'!$E$65:$E$86,'Detailed Feasibility'!L117)+SUMIFS($N$65:$N$86,$C$65:$C$86,$B$141,$F$65:$F$86,L117)+SUMIFS($O$65:$O$86,$C$65:$C$86,$B$141,$G$65:$G$86,L117))</f>
        <v>0</v>
      </c>
      <c r="M141" s="259">
        <f>IF(M117="","",SUMIFS('Detailed Feasibility'!$M$65:$M$86,$C$65:$C$86,'Detailed Feasibility'!$B$141,'Detailed Feasibility'!$E$65:$E$86,'Detailed Feasibility'!M117)+SUMIFS($N$65:$N$86,$C$65:$C$86,$B$141,$F$65:$F$86,M117)+SUMIFS($O$65:$O$86,$C$65:$C$86,$B$141,$G$65:$G$86,M117))</f>
        <v>0</v>
      </c>
      <c r="N141" s="259">
        <f>IF(N117="","",SUMIFS('Detailed Feasibility'!$M$65:$M$86,$C$65:$C$86,'Detailed Feasibility'!$B$141,'Detailed Feasibility'!$E$65:$E$86,'Detailed Feasibility'!N117)+SUMIFS($N$65:$N$86,$C$65:$C$86,$B$141,$F$65:$F$86,N117)+SUMIFS($O$65:$O$86,$C$65:$C$86,$B$141,$G$65:$G$86,N117))</f>
        <v>0</v>
      </c>
      <c r="O141" s="259">
        <f>IF(O117="","",SUMIFS('Detailed Feasibility'!$M$65:$M$86,$C$65:$C$86,'Detailed Feasibility'!$B$141,'Detailed Feasibility'!$E$65:$E$86,'Detailed Feasibility'!O117)+SUMIFS($N$65:$N$86,$C$65:$C$86,$B$141,$F$65:$F$86,O117)+SUMIFS($O$65:$O$86,$C$65:$C$86,$B$141,$G$65:$G$86,O117))</f>
        <v>0</v>
      </c>
      <c r="P141" s="259">
        <f>IF(P117="","",SUMIFS('Detailed Feasibility'!$M$65:$M$86,$C$65:$C$86,'Detailed Feasibility'!$B$141,'Detailed Feasibility'!$E$65:$E$86,'Detailed Feasibility'!P117)+SUMIFS($N$65:$N$86,$C$65:$C$86,$B$141,$F$65:$F$86,P117)+SUMIFS($O$65:$O$86,$C$65:$C$86,$B$141,$G$65:$G$86,P117))</f>
        <v>0</v>
      </c>
      <c r="Q141" s="259">
        <f>IF(Q117="","",SUMIFS('Detailed Feasibility'!$M$65:$M$86,$C$65:$C$86,'Detailed Feasibility'!$B$141,'Detailed Feasibility'!$E$65:$E$86,'Detailed Feasibility'!Q117)+SUMIFS($N$65:$N$86,$C$65:$C$86,$B$141,$F$65:$F$86,Q117)+SUMIFS($O$65:$O$86,$C$65:$C$86,$B$141,$G$65:$G$86,Q117))</f>
        <v>116666.66666666666</v>
      </c>
      <c r="R141" s="259">
        <f>IF(R117="","",SUMIFS('Detailed Feasibility'!$M$65:$M$86,$C$65:$C$86,'Detailed Feasibility'!$B$141,'Detailed Feasibility'!$E$65:$E$86,'Detailed Feasibility'!R117)+SUMIFS($N$65:$N$86,$C$65:$C$86,$B$141,$F$65:$F$86,R117)+SUMIFS($O$65:$O$86,$C$65:$C$86,$B$141,$G$65:$G$86,R117))</f>
        <v>0</v>
      </c>
      <c r="S141" s="259">
        <f>IF(S117="","",SUMIFS('Detailed Feasibility'!$M$65:$M$86,$C$65:$C$86,'Detailed Feasibility'!$B$141,'Detailed Feasibility'!$E$65:$E$86,'Detailed Feasibility'!S117)+SUMIFS($N$65:$N$86,$C$65:$C$86,$B$141,$F$65:$F$86,S117)+SUMIFS($O$65:$O$86,$C$65:$C$86,$B$141,$G$65:$G$86,S117))</f>
        <v>0</v>
      </c>
      <c r="T141" s="259">
        <f>IF(T117="","",SUMIFS('Detailed Feasibility'!$M$65:$M$86,$C$65:$C$86,'Detailed Feasibility'!$B$141,'Detailed Feasibility'!$E$65:$E$86,'Detailed Feasibility'!T117)+SUMIFS($N$65:$N$86,$C$65:$C$86,$B$141,$F$65:$F$86,T117)+SUMIFS($O$65:$O$86,$C$65:$C$86,$B$141,$G$65:$G$86,T117))</f>
        <v>0</v>
      </c>
      <c r="U141" s="259">
        <f>IF(U117="","",SUMIFS('Detailed Feasibility'!$M$65:$M$86,$C$65:$C$86,'Detailed Feasibility'!$B$141,'Detailed Feasibility'!$E$65:$E$86,'Detailed Feasibility'!U117)+SUMIFS($N$65:$N$86,$C$65:$C$86,$B$141,$F$65:$F$86,U117)+SUMIFS($O$65:$O$86,$C$65:$C$86,$B$141,$G$65:$G$86,U117))</f>
        <v>0</v>
      </c>
      <c r="V141" s="259">
        <f>IF(V117="","",SUMIFS('Detailed Feasibility'!$M$65:$M$86,$C$65:$C$86,'Detailed Feasibility'!$B$141,'Detailed Feasibility'!$E$65:$E$86,'Detailed Feasibility'!V117)+SUMIFS($N$65:$N$86,$C$65:$C$86,$B$141,$F$65:$F$86,V117)+SUMIFS($O$65:$O$86,$C$65:$C$86,$B$141,$G$65:$G$86,V117))</f>
        <v>0</v>
      </c>
      <c r="W141" s="259">
        <f>IF(W117="","",SUMIFS('Detailed Feasibility'!$M$65:$M$86,$C$65:$C$86,'Detailed Feasibility'!$B$141,'Detailed Feasibility'!$E$65:$E$86,'Detailed Feasibility'!W117)+SUMIFS($N$65:$N$86,$C$65:$C$86,$B$141,$F$65:$F$86,W117)+SUMIFS($O$65:$O$86,$C$65:$C$86,$B$141,$G$65:$G$86,W117))</f>
        <v>116666.66666666666</v>
      </c>
      <c r="X141" s="259">
        <f>IF(X117="","",SUMIFS('Detailed Feasibility'!$M$65:$M$86,$C$65:$C$86,'Detailed Feasibility'!$B$141,'Detailed Feasibility'!$E$65:$E$86,'Detailed Feasibility'!X117)+SUMIFS($N$65:$N$86,$C$65:$C$86,$B$141,$F$65:$F$86,X117)+SUMIFS($O$65:$O$86,$C$65:$C$86,$B$141,$G$65:$G$86,X117))</f>
        <v>0</v>
      </c>
      <c r="Y141" s="259">
        <f>IF(Y117="","",SUMIFS('Detailed Feasibility'!$M$65:$M$86,$C$65:$C$86,'Detailed Feasibility'!$B$141,'Detailed Feasibility'!$E$65:$E$86,'Detailed Feasibility'!Y117)+SUMIFS($N$65:$N$86,$C$65:$C$86,$B$141,$F$65:$F$86,Y117)+SUMIFS($O$65:$O$86,$C$65:$C$86,$B$141,$G$65:$G$86,Y117))</f>
        <v>0</v>
      </c>
      <c r="Z141" s="259">
        <f>IF(Z117="","",SUMIFS('Detailed Feasibility'!$M$65:$M$86,$C$65:$C$86,'Detailed Feasibility'!$B$141,'Detailed Feasibility'!$E$65:$E$86,'Detailed Feasibility'!Z117)+SUMIFS($N$65:$N$86,$C$65:$C$86,$B$141,$F$65:$F$86,Z117)+SUMIFS($O$65:$O$86,$C$65:$C$86,$B$141,$G$65:$G$86,Z117))</f>
        <v>116666.66666666666</v>
      </c>
      <c r="AA141" s="259">
        <f>IF(AA117="","",SUMIFS('Detailed Feasibility'!$M$65:$M$86,$C$65:$C$86,'Detailed Feasibility'!$B$141,'Detailed Feasibility'!$E$65:$E$86,'Detailed Feasibility'!AA117)+SUMIFS($N$65:$N$86,$C$65:$C$86,$B$141,$F$65:$F$86,AA117)+SUMIFS($O$65:$O$86,$C$65:$C$86,$B$141,$G$65:$G$86,AA117))</f>
        <v>0</v>
      </c>
      <c r="AB141" s="259">
        <f>IF(AB117="","",SUMIFS('Detailed Feasibility'!$M$65:$M$86,$C$65:$C$86,'Detailed Feasibility'!$B$141,'Detailed Feasibility'!$E$65:$E$86,'Detailed Feasibility'!AB117)+SUMIFS($N$65:$N$86,$C$65:$C$86,$B$141,$F$65:$F$86,AB117)+SUMIFS($O$65:$O$86,$C$65:$C$86,$B$141,$G$65:$G$86,AB117))</f>
        <v>0</v>
      </c>
      <c r="AC141" s="259">
        <f>IF(AC117="","",SUMIFS('Detailed Feasibility'!$M$65:$M$86,$C$65:$C$86,'Detailed Feasibility'!$B$141,'Detailed Feasibility'!$E$65:$E$86,'Detailed Feasibility'!AC117)+SUMIFS($N$65:$N$86,$C$65:$C$86,$B$141,$F$65:$F$86,AC117)+SUMIFS($O$65:$O$86,$C$65:$C$86,$B$141,$G$65:$G$86,AC117))</f>
        <v>0</v>
      </c>
      <c r="AD141" s="259">
        <f>IF(AD117="","",SUMIFS('Detailed Feasibility'!$M$65:$M$86,$C$65:$C$86,'Detailed Feasibility'!$B$141,'Detailed Feasibility'!$E$65:$E$86,'Detailed Feasibility'!AD117)+SUMIFS($N$65:$N$86,$C$65:$C$86,$B$141,$F$65:$F$86,AD117)+SUMIFS($O$65:$O$86,$C$65:$C$86,$B$141,$G$65:$G$86,AD117))</f>
        <v>0</v>
      </c>
      <c r="AE141" s="259">
        <f>IF(AE117="","",SUMIFS('Detailed Feasibility'!$M$65:$M$86,$C$65:$C$86,'Detailed Feasibility'!$B$141,'Detailed Feasibility'!$E$65:$E$86,'Detailed Feasibility'!AE117)+SUMIFS($N$65:$N$86,$C$65:$C$86,$B$141,$F$65:$F$86,AE117)+SUMIFS($O$65:$O$86,$C$65:$C$86,$B$141,$G$65:$G$86,AE117))</f>
        <v>0</v>
      </c>
      <c r="AF141" s="259" t="str">
        <f>IF(AF117="","",SUMIFS('Detailed Feasibility'!$M$65:$M$86,$C$65:$C$86,'Detailed Feasibility'!$B$141,'Detailed Feasibility'!$E$65:$E$86,'Detailed Feasibility'!AF117)+SUMIFS($N$65:$N$86,$C$65:$C$86,$B$141,$F$65:$F$86,AF117)+SUMIFS($O$65:$O$86,$C$65:$C$86,$B$141,$G$65:$G$86,AF117))</f>
        <v/>
      </c>
      <c r="AG141" s="259" t="str">
        <f>IF(AG117="","",SUMIFS('Detailed Feasibility'!$M$65:$M$86,$C$65:$C$86,'Detailed Feasibility'!$B$141,'Detailed Feasibility'!$E$65:$E$86,'Detailed Feasibility'!AG117)+SUMIFS($N$65:$N$86,$C$65:$C$86,$B$141,$F$65:$F$86,AG117)+SUMIFS($O$65:$O$86,$C$65:$C$86,$B$141,$G$65:$G$86,AG117))</f>
        <v/>
      </c>
      <c r="AH141" s="259" t="str">
        <f>IF(AH117="","",SUMIFS('Detailed Feasibility'!$M$65:$M$86,$C$65:$C$86,'Detailed Feasibility'!$B$141,'Detailed Feasibility'!$E$65:$E$86,'Detailed Feasibility'!AH117)+SUMIFS($N$65:$N$86,$C$65:$C$86,$B$141,$F$65:$F$86,AH117)+SUMIFS($O$65:$O$86,$C$65:$C$86,$B$141,$G$65:$G$86,AH117))</f>
        <v/>
      </c>
      <c r="AI141" s="259" t="str">
        <f>IF(AI117="","",SUMIFS('Detailed Feasibility'!$M$65:$M$86,$C$65:$C$86,'Detailed Feasibility'!$B$141,'Detailed Feasibility'!$E$65:$E$86,'Detailed Feasibility'!AI117)+SUMIFS($N$65:$N$86,$C$65:$C$86,$B$141,$F$65:$F$86,AI117)+SUMIFS($O$65:$O$86,$C$65:$C$86,$B$141,$G$65:$G$86,AI117))</f>
        <v/>
      </c>
      <c r="AJ141" s="259" t="str">
        <f>IF(AJ117="","",SUMIFS('Detailed Feasibility'!$M$65:$M$86,$C$65:$C$86,'Detailed Feasibility'!$B$141,'Detailed Feasibility'!$E$65:$E$86,'Detailed Feasibility'!AJ117)+SUMIFS($N$65:$N$86,$C$65:$C$86,$B$141,$F$65:$F$86,AJ117)+SUMIFS($O$65:$O$86,$C$65:$C$86,$B$141,$G$65:$G$86,AJ117))</f>
        <v/>
      </c>
      <c r="AK141" s="259" t="str">
        <f>IF(AK117="","",SUMIFS('Detailed Feasibility'!$M$65:$M$86,$C$65:$C$86,'Detailed Feasibility'!$B$141,'Detailed Feasibility'!$E$65:$E$86,'Detailed Feasibility'!AK117)+SUMIFS($N$65:$N$86,$C$65:$C$86,$B$141,$F$65:$F$86,AK117)+SUMIFS($O$65:$O$86,$C$65:$C$86,$B$141,$G$65:$G$86,AK117))</f>
        <v/>
      </c>
      <c r="AL141" s="259" t="str">
        <f>IF(AL117="","",SUMIFS('Detailed Feasibility'!$M$65:$M$86,$C$65:$C$86,'Detailed Feasibility'!$B$141,'Detailed Feasibility'!$E$65:$E$86,'Detailed Feasibility'!AL117)+SUMIFS($N$65:$N$86,$C$65:$C$86,$B$141,$F$65:$F$86,AL117)+SUMIFS($O$65:$O$86,$C$65:$C$86,$B$141,$G$65:$G$86,AL117))</f>
        <v/>
      </c>
      <c r="AM141" s="259" t="str">
        <f>IF(AM117="","",SUMIFS('Detailed Feasibility'!$M$65:$M$86,$C$65:$C$86,'Detailed Feasibility'!$B$141,'Detailed Feasibility'!$E$65:$E$86,'Detailed Feasibility'!AM117)+SUMIFS($N$65:$N$86,$C$65:$C$86,$B$141,$F$65:$F$86,AM117)+SUMIFS($O$65:$O$86,$C$65:$C$86,$B$141,$G$65:$G$86,AM117))</f>
        <v/>
      </c>
      <c r="AN141" s="259" t="str">
        <f>IF(AN117="","",SUMIFS('Detailed Feasibility'!$M$65:$M$86,$C$65:$C$86,'Detailed Feasibility'!$B$141,'Detailed Feasibility'!$E$65:$E$86,'Detailed Feasibility'!AN117)+SUMIFS($N$65:$N$86,$C$65:$C$86,$B$141,$F$65:$F$86,AN117)+SUMIFS($O$65:$O$86,$C$65:$C$86,$B$141,$G$65:$G$86,AN117))</f>
        <v/>
      </c>
      <c r="AO141" s="259" t="str">
        <f>IF(AO117="","",SUMIFS('Detailed Feasibility'!$M$65:$M$86,$C$65:$C$86,'Detailed Feasibility'!$B$141,'Detailed Feasibility'!$E$65:$E$86,'Detailed Feasibility'!AO117)+SUMIFS($N$65:$N$86,$C$65:$C$86,$B$141,$F$65:$F$86,AO117)+SUMIFS($O$65:$O$86,$C$65:$C$86,$B$141,$G$65:$G$86,AO117))</f>
        <v/>
      </c>
      <c r="AP141" s="259" t="str">
        <f>IF(AP117="","",SUMIFS('Detailed Feasibility'!$M$65:$M$86,$C$65:$C$86,'Detailed Feasibility'!$B$141,'Detailed Feasibility'!$E$65:$E$86,'Detailed Feasibility'!AP117)+SUMIFS($N$65:$N$86,$C$65:$C$86,$B$141,$F$65:$F$86,AP117)+SUMIFS($O$65:$O$86,$C$65:$C$86,$B$141,$G$65:$G$86,AP117))</f>
        <v/>
      </c>
      <c r="AQ141" s="259" t="str">
        <f>IF(AQ117="","",SUMIFS('Detailed Feasibility'!$M$65:$M$86,$C$65:$C$86,'Detailed Feasibility'!$B$141,'Detailed Feasibility'!$E$65:$E$86,'Detailed Feasibility'!AQ117)+SUMIFS($N$65:$N$86,$C$65:$C$86,$B$141,$F$65:$F$86,AQ117)+SUMIFS($O$65:$O$86,$C$65:$C$86,$B$141,$G$65:$G$86,AQ117))</f>
        <v/>
      </c>
      <c r="AR141" s="259" t="str">
        <f>IF(AR117="","",SUMIFS('Detailed Feasibility'!$M$65:$M$86,$C$65:$C$86,'Detailed Feasibility'!$B$141,'Detailed Feasibility'!$E$65:$E$86,'Detailed Feasibility'!AR117)+SUMIFS($N$65:$N$86,$C$65:$C$86,$B$141,$F$65:$F$86,AR117)+SUMIFS($O$65:$O$86,$C$65:$C$86,$B$141,$G$65:$G$86,AR117))</f>
        <v/>
      </c>
      <c r="AS141" s="259" t="str">
        <f>IF(AS117="","",SUMIFS('Detailed Feasibility'!$M$65:$M$86,$C$65:$C$86,'Detailed Feasibility'!$B$141,'Detailed Feasibility'!$E$65:$E$86,'Detailed Feasibility'!AS117)+SUMIFS($N$65:$N$86,$C$65:$C$86,$B$141,$F$65:$F$86,AS117)+SUMIFS($O$65:$O$86,$C$65:$C$86,$B$141,$G$65:$G$86,AS117))</f>
        <v/>
      </c>
      <c r="AT141" s="259" t="str">
        <f>IF(AT117="","",SUMIFS('Detailed Feasibility'!$M$65:$M$86,$C$65:$C$86,'Detailed Feasibility'!$B$141,'Detailed Feasibility'!$E$65:$E$86,'Detailed Feasibility'!AT117)+SUMIFS($N$65:$N$86,$C$65:$C$86,$B$141,$F$65:$F$86,AT117)+SUMIFS($O$65:$O$86,$C$65:$C$86,$B$141,$G$65:$G$86,AT117))</f>
        <v/>
      </c>
      <c r="AU141" s="259" t="str">
        <f>IF(AU117="","",SUMIFS('Detailed Feasibility'!$M$65:$M$86,$C$65:$C$86,'Detailed Feasibility'!$B$141,'Detailed Feasibility'!$E$65:$E$86,'Detailed Feasibility'!AU117)+SUMIFS($N$65:$N$86,$C$65:$C$86,$B$141,$F$65:$F$86,AU117)+SUMIFS($O$65:$O$86,$C$65:$C$86,$B$141,$G$65:$G$86,AU117))</f>
        <v/>
      </c>
      <c r="AV141" s="259" t="str">
        <f>IF(AV117="","",SUMIFS('Detailed Feasibility'!$M$65:$M$86,$C$65:$C$86,'Detailed Feasibility'!$B$141,'Detailed Feasibility'!$E$65:$E$86,'Detailed Feasibility'!AV117)+SUMIFS($N$65:$N$86,$C$65:$C$86,$B$141,$F$65:$F$86,AV117)+SUMIFS($O$65:$O$86,$C$65:$C$86,$B$141,$G$65:$G$86,AV117))</f>
        <v/>
      </c>
      <c r="AW141" s="259" t="str">
        <f>IF(AW117="","",SUMIFS('Detailed Feasibility'!$M$65:$M$86,$C$65:$C$86,'Detailed Feasibility'!$B$141,'Detailed Feasibility'!$E$65:$E$86,'Detailed Feasibility'!AW117)+SUMIFS($N$65:$N$86,$C$65:$C$86,$B$141,$F$65:$F$86,AW117)+SUMIFS($O$65:$O$86,$C$65:$C$86,$B$141,$G$65:$G$86,AW117))</f>
        <v/>
      </c>
      <c r="AX141" s="259" t="str">
        <f>IF(AX117="","",SUMIFS('Detailed Feasibility'!$M$65:$M$86,$C$65:$C$86,'Detailed Feasibility'!$B$141,'Detailed Feasibility'!$E$65:$E$86,'Detailed Feasibility'!AX117)+SUMIFS($N$65:$N$86,$C$65:$C$86,$B$141,$F$65:$F$86,AX117)+SUMIFS($O$65:$O$86,$C$65:$C$86,$B$141,$G$65:$G$86,AX117))</f>
        <v/>
      </c>
      <c r="AY141" s="259" t="str">
        <f>IF(AY117="","",SUMIFS('Detailed Feasibility'!$M$65:$M$86,$C$65:$C$86,'Detailed Feasibility'!$B$141,'Detailed Feasibility'!$E$65:$E$86,'Detailed Feasibility'!AY117)+SUMIFS($N$65:$N$86,$C$65:$C$86,$B$141,$F$65:$F$86,AY117)+SUMIFS($O$65:$O$86,$C$65:$C$86,$B$141,$G$65:$G$86,AY117))</f>
        <v/>
      </c>
      <c r="AZ141" s="259" t="str">
        <f>IF(AZ117="","",SUMIFS('Detailed Feasibility'!$M$65:$M$86,$C$65:$C$86,'Detailed Feasibility'!$B$141,'Detailed Feasibility'!$E$65:$E$86,'Detailed Feasibility'!AZ117)+SUMIFS($N$65:$N$86,$C$65:$C$86,$B$141,$F$65:$F$86,AZ117)+SUMIFS($O$65:$O$86,$C$65:$C$86,$B$141,$G$65:$G$86,AZ117))</f>
        <v/>
      </c>
      <c r="BA141" s="259" t="str">
        <f>IF(BA117="","",SUMIFS('Detailed Feasibility'!$M$65:$M$86,$C$65:$C$86,'Detailed Feasibility'!$B$141,'Detailed Feasibility'!$E$65:$E$86,'Detailed Feasibility'!BA117)+SUMIFS($N$65:$N$86,$C$65:$C$86,$B$141,$F$65:$F$86,BA117)+SUMIFS($O$65:$O$86,$C$65:$C$86,$B$141,$G$65:$G$86,BA117))</f>
        <v/>
      </c>
      <c r="BB141" s="259" t="str">
        <f>IF(BB117="","",SUMIFS('Detailed Feasibility'!$M$65:$M$86,$C$65:$C$86,'Detailed Feasibility'!$B$141,'Detailed Feasibility'!$E$65:$E$86,'Detailed Feasibility'!BB117)+SUMIFS($N$65:$N$86,$C$65:$C$86,$B$141,$F$65:$F$86,BB117)+SUMIFS($O$65:$O$86,$C$65:$C$86,$B$141,$G$65:$G$86,BB117))</f>
        <v/>
      </c>
      <c r="BC141" s="259" t="str">
        <f>IF(BC117="","",SUMIFS('Detailed Feasibility'!$M$65:$M$86,$C$65:$C$86,'Detailed Feasibility'!$B$141,'Detailed Feasibility'!$E$65:$E$86,'Detailed Feasibility'!BC117)+SUMIFS($N$65:$N$86,$C$65:$C$86,$B$141,$F$65:$F$86,BC117)+SUMIFS($O$65:$O$86,$C$65:$C$86,$B$141,$G$65:$G$86,BC117))</f>
        <v/>
      </c>
      <c r="BD141" s="259" t="str">
        <f>IF(BD117="","",SUMIFS('Detailed Feasibility'!$M$65:$M$86,$C$65:$C$86,'Detailed Feasibility'!$B$141,'Detailed Feasibility'!$E$65:$E$86,'Detailed Feasibility'!BD117)+SUMIFS($N$65:$N$86,$C$65:$C$86,$B$141,$F$65:$F$86,BD117)+SUMIFS($O$65:$O$86,$C$65:$C$86,$B$141,$G$65:$G$86,BD117))</f>
        <v/>
      </c>
      <c r="BE141" s="259" t="str">
        <f>IF(BE117="","",SUMIFS('Detailed Feasibility'!$M$65:$M$86,$C$65:$C$86,'Detailed Feasibility'!$B$141,'Detailed Feasibility'!$E$65:$E$86,'Detailed Feasibility'!BE117)+SUMIFS($N$65:$N$86,$C$65:$C$86,$B$141,$F$65:$F$86,BE117)+SUMIFS($O$65:$O$86,$C$65:$C$86,$B$141,$G$65:$G$86,BE117))</f>
        <v/>
      </c>
      <c r="BF141" s="259" t="str">
        <f>IF(BF117="","",SUMIFS('Detailed Feasibility'!$M$65:$M$86,$C$65:$C$86,'Detailed Feasibility'!$B$141,'Detailed Feasibility'!$E$65:$E$86,'Detailed Feasibility'!BF117)+SUMIFS($N$65:$N$86,$C$65:$C$86,$B$141,$F$65:$F$86,BF117)+SUMIFS($O$65:$O$86,$C$65:$C$86,$B$141,$G$65:$G$86,BF117))</f>
        <v/>
      </c>
      <c r="BG141" s="259" t="str">
        <f>IF(BG117="","",SUMIFS('Detailed Feasibility'!$M$65:$M$86,$C$65:$C$86,'Detailed Feasibility'!$B$141,'Detailed Feasibility'!$E$65:$E$86,'Detailed Feasibility'!BG117)+SUMIFS($N$65:$N$86,$C$65:$C$86,$B$141,$F$65:$F$86,BG117)+SUMIFS($O$65:$O$86,$C$65:$C$86,$B$141,$G$65:$G$86,BG117))</f>
        <v/>
      </c>
      <c r="BH141" s="259" t="str">
        <f>IF(BH117="","",SUMIFS('Detailed Feasibility'!$M$65:$M$86,$C$65:$C$86,'Detailed Feasibility'!$B$141,'Detailed Feasibility'!$E$65:$E$86,'Detailed Feasibility'!BH117)+SUMIFS($N$65:$N$86,$C$65:$C$86,$B$141,$F$65:$F$86,BH117)+SUMIFS($O$65:$O$86,$C$65:$C$86,$B$141,$G$65:$G$86,BH117))</f>
        <v/>
      </c>
      <c r="BI141" s="259" t="str">
        <f>IF(BI117="","",SUMIFS('Detailed Feasibility'!$M$65:$M$86,$C$65:$C$86,'Detailed Feasibility'!$B$141,'Detailed Feasibility'!$E$65:$E$86,'Detailed Feasibility'!BI117)+SUMIFS($N$65:$N$86,$C$65:$C$86,$B$141,$F$65:$F$86,BI117)+SUMIFS($O$65:$O$86,$C$65:$C$86,$B$141,$G$65:$G$86,BI117))</f>
        <v/>
      </c>
      <c r="BJ141" s="259" t="str">
        <f>IF(BJ117="","",SUMIFS('Detailed Feasibility'!$M$65:$M$86,$C$65:$C$86,'Detailed Feasibility'!$B$141,'Detailed Feasibility'!$E$65:$E$86,'Detailed Feasibility'!BJ117)+SUMIFS($N$65:$N$86,$C$65:$C$86,$B$141,$F$65:$F$86,BJ117)+SUMIFS($O$65:$O$86,$C$65:$C$86,$B$141,$G$65:$G$86,BJ117))</f>
        <v/>
      </c>
      <c r="BK141" s="259" t="str">
        <f>IF(BK117="","",SUMIFS('Detailed Feasibility'!$M$65:$M$86,$C$65:$C$86,'Detailed Feasibility'!$B$141,'Detailed Feasibility'!$E$65:$E$86,'Detailed Feasibility'!BK117)+SUMIFS($N$65:$N$86,$C$65:$C$86,$B$141,$F$65:$F$86,BK117)+SUMIFS($O$65:$O$86,$C$65:$C$86,$B$141,$G$65:$G$86,BK117))</f>
        <v/>
      </c>
      <c r="BL141" s="259" t="str">
        <f>IF(BL117="","",SUMIFS('Detailed Feasibility'!$M$65:$M$86,$C$65:$C$86,'Detailed Feasibility'!$B$141,'Detailed Feasibility'!$E$65:$E$86,'Detailed Feasibility'!BL117)+SUMIFS($N$65:$N$86,$C$65:$C$86,$B$141,$F$65:$F$86,BL117)+SUMIFS($O$65:$O$86,$C$65:$C$86,$B$141,$G$65:$G$86,BL117))</f>
        <v/>
      </c>
      <c r="BM141" s="260" t="str">
        <f>IF(BM117="","",SUMIFS('Detailed Feasibility'!$M$65:$M$86,$C$65:$C$86,'Detailed Feasibility'!$B$141,'Detailed Feasibility'!$E$65:$E$86,'Detailed Feasibility'!BM117)+SUMIFS($N$65:$N$86,$C$65:$C$86,$B$141,$F$65:$F$86,BM117)+SUMIFS($O$65:$O$86,$C$65:$C$86,$B$141,$G$65:$G$86,BM117))</f>
        <v/>
      </c>
    </row>
    <row r="142" spans="2:65" s="198" customFormat="1" x14ac:dyDescent="0.25">
      <c r="B142" s="353" t="str">
        <f t="shared" si="29"/>
        <v>3 Bed</v>
      </c>
      <c r="C142" s="736"/>
      <c r="D142" s="212">
        <f>'Detailed Feasibility Inputs'!F42</f>
        <v>450000</v>
      </c>
      <c r="E142" s="736">
        <f t="shared" si="30"/>
        <v>1</v>
      </c>
      <c r="F142" s="259">
        <f>SUMIFS('Detailed Feasibility'!$M$65:$M$86,$C$65:$C$86,'Detailed Feasibility'!$B$142,'Detailed Feasibility'!$E$65:$E$86,'Detailed Feasibility'!F117)+SUMIFS($N$65:$N$86,$C$65:$C$86,$B$142,$F$65:$F$86,F117)+SUMIFS($O$65:$O$86,$C$65:$C$86,$B$142,$G$65:$G$86,F117)</f>
        <v>0</v>
      </c>
      <c r="G142" s="259">
        <f>IF(G117="","",SUMIFS('Detailed Feasibility'!$M$65:$M$86,$C$65:$C$86,'Detailed Feasibility'!$B$142,'Detailed Feasibility'!$E$65:$E$86,'Detailed Feasibility'!G117)+SUMIFS($N$65:$N$86,$C$65:$C$86,$B$142,$F$65:$F$86,G117)+SUMIFS($O$65:$O$86,$C$65:$C$86,$B$142,$G$65:$G$86,G117))</f>
        <v>0</v>
      </c>
      <c r="H142" s="259">
        <f>IF(H117="","",SUMIFS('Detailed Feasibility'!$M$65:$M$86,$C$65:$C$86,'Detailed Feasibility'!$B$142,'Detailed Feasibility'!$E$65:$E$86,'Detailed Feasibility'!H117)+SUMIFS($N$65:$N$86,$C$65:$C$86,$B$142,$F$65:$F$86,H117)+SUMIFS($O$65:$O$86,$C$65:$C$86,$B$142,$G$65:$G$86,H117))</f>
        <v>0</v>
      </c>
      <c r="I142" s="259">
        <f>IF(I117="","",SUMIFS('Detailed Feasibility'!$M$65:$M$86,$C$65:$C$86,'Detailed Feasibility'!$B$142,'Detailed Feasibility'!$E$65:$E$86,'Detailed Feasibility'!I117)+SUMIFS($N$65:$N$86,$C$65:$C$86,$B$142,$F$65:$F$86,I117)+SUMIFS($O$65:$O$86,$C$65:$C$86,$B$142,$G$65:$G$86,I117))</f>
        <v>0</v>
      </c>
      <c r="J142" s="259">
        <f>IF(J117="","",SUMIFS('Detailed Feasibility'!$M$65:$M$86,$C$65:$C$86,'Detailed Feasibility'!$B$142,'Detailed Feasibility'!$E$65:$E$86,'Detailed Feasibility'!J117)+SUMIFS($N$65:$N$86,$C$65:$C$86,$B$142,$F$65:$F$86,J117)+SUMIFS($O$65:$O$86,$C$65:$C$86,$B$142,$G$65:$G$86,J117))</f>
        <v>0</v>
      </c>
      <c r="K142" s="259">
        <f>IF(K117="","",SUMIFS('Detailed Feasibility'!$M$65:$M$86,$C$65:$C$86,'Detailed Feasibility'!$B$142,'Detailed Feasibility'!$E$65:$E$86,'Detailed Feasibility'!K117)+SUMIFS($N$65:$N$86,$C$65:$C$86,$B$142,$F$65:$F$86,K117)+SUMIFS($O$65:$O$86,$C$65:$C$86,$B$142,$G$65:$G$86,K117))</f>
        <v>0</v>
      </c>
      <c r="L142" s="259">
        <f>IF(L117="","",SUMIFS('Detailed Feasibility'!$M$65:$M$86,$C$65:$C$86,'Detailed Feasibility'!$B$142,'Detailed Feasibility'!$E$65:$E$86,'Detailed Feasibility'!L117)+SUMIFS($N$65:$N$86,$C$65:$C$86,$B$142,$F$65:$F$86,L117)+SUMIFS($O$65:$O$86,$C$65:$C$86,$B$142,$G$65:$G$86,L117))</f>
        <v>0</v>
      </c>
      <c r="M142" s="259">
        <f>IF(M117="","",SUMIFS('Detailed Feasibility'!$M$65:$M$86,$C$65:$C$86,'Detailed Feasibility'!$B$142,'Detailed Feasibility'!$E$65:$E$86,'Detailed Feasibility'!M117)+SUMIFS($N$65:$N$86,$C$65:$C$86,$B$142,$F$65:$F$86,M117)+SUMIFS($O$65:$O$86,$C$65:$C$86,$B$142,$G$65:$G$86,M117))</f>
        <v>0</v>
      </c>
      <c r="N142" s="259">
        <f>IF(N117="","",SUMIFS('Detailed Feasibility'!$M$65:$M$86,$C$65:$C$86,'Detailed Feasibility'!$B$142,'Detailed Feasibility'!$E$65:$E$86,'Detailed Feasibility'!N117)+SUMIFS($N$65:$N$86,$C$65:$C$86,$B$142,$F$65:$F$86,N117)+SUMIFS($O$65:$O$86,$C$65:$C$86,$B$142,$G$65:$G$86,N117))</f>
        <v>0</v>
      </c>
      <c r="O142" s="259">
        <f>IF(O117="","",SUMIFS('Detailed Feasibility'!$M$65:$M$86,$C$65:$C$86,'Detailed Feasibility'!$B$142,'Detailed Feasibility'!$E$65:$E$86,'Detailed Feasibility'!O117)+SUMIFS($N$65:$N$86,$C$65:$C$86,$B$142,$F$65:$F$86,O117)+SUMIFS($O$65:$O$86,$C$65:$C$86,$B$142,$G$65:$G$86,O117))</f>
        <v>0</v>
      </c>
      <c r="P142" s="259">
        <f>IF(P117="","",SUMIFS('Detailed Feasibility'!$M$65:$M$86,$C$65:$C$86,'Detailed Feasibility'!$B$142,'Detailed Feasibility'!$E$65:$E$86,'Detailed Feasibility'!P117)+SUMIFS($N$65:$N$86,$C$65:$C$86,$B$142,$F$65:$F$86,P117)+SUMIFS($O$65:$O$86,$C$65:$C$86,$B$142,$G$65:$G$86,P117))</f>
        <v>0</v>
      </c>
      <c r="Q142" s="259">
        <f>IF(Q117="","",SUMIFS('Detailed Feasibility'!$M$65:$M$86,$C$65:$C$86,'Detailed Feasibility'!$B$142,'Detailed Feasibility'!$E$65:$E$86,'Detailed Feasibility'!Q117)+SUMIFS($N$65:$N$86,$C$65:$C$86,$B$142,$F$65:$F$86,Q117)+SUMIFS($O$65:$O$86,$C$65:$C$86,$B$142,$G$65:$G$86,Q117))</f>
        <v>150000</v>
      </c>
      <c r="R142" s="259">
        <f>IF(R117="","",SUMIFS('Detailed Feasibility'!$M$65:$M$86,$C$65:$C$86,'Detailed Feasibility'!$B$142,'Detailed Feasibility'!$E$65:$E$86,'Detailed Feasibility'!R117)+SUMIFS($N$65:$N$86,$C$65:$C$86,$B$142,$F$65:$F$86,R117)+SUMIFS($O$65:$O$86,$C$65:$C$86,$B$142,$G$65:$G$86,R117))</f>
        <v>0</v>
      </c>
      <c r="S142" s="259">
        <f>IF(S117="","",SUMIFS('Detailed Feasibility'!$M$65:$M$86,$C$65:$C$86,'Detailed Feasibility'!$B$142,'Detailed Feasibility'!$E$65:$E$86,'Detailed Feasibility'!S117)+SUMIFS($N$65:$N$86,$C$65:$C$86,$B$142,$F$65:$F$86,S117)+SUMIFS($O$65:$O$86,$C$65:$C$86,$B$142,$G$65:$G$86,S117))</f>
        <v>0</v>
      </c>
      <c r="T142" s="259">
        <f>IF(T117="","",SUMIFS('Detailed Feasibility'!$M$65:$M$86,$C$65:$C$86,'Detailed Feasibility'!$B$142,'Detailed Feasibility'!$E$65:$E$86,'Detailed Feasibility'!T117)+SUMIFS($N$65:$N$86,$C$65:$C$86,$B$142,$F$65:$F$86,T117)+SUMIFS($O$65:$O$86,$C$65:$C$86,$B$142,$G$65:$G$86,T117))</f>
        <v>0</v>
      </c>
      <c r="U142" s="259">
        <f>IF(U117="","",SUMIFS('Detailed Feasibility'!$M$65:$M$86,$C$65:$C$86,'Detailed Feasibility'!$B$142,'Detailed Feasibility'!$E$65:$E$86,'Detailed Feasibility'!U117)+SUMIFS($N$65:$N$86,$C$65:$C$86,$B$142,$F$65:$F$86,U117)+SUMIFS($O$65:$O$86,$C$65:$C$86,$B$142,$G$65:$G$86,U117))</f>
        <v>0</v>
      </c>
      <c r="V142" s="259">
        <f>IF(V117="","",SUMIFS('Detailed Feasibility'!$M$65:$M$86,$C$65:$C$86,'Detailed Feasibility'!$B$142,'Detailed Feasibility'!$E$65:$E$86,'Detailed Feasibility'!V117)+SUMIFS($N$65:$N$86,$C$65:$C$86,$B$142,$F$65:$F$86,V117)+SUMIFS($O$65:$O$86,$C$65:$C$86,$B$142,$G$65:$G$86,V117))</f>
        <v>0</v>
      </c>
      <c r="W142" s="259">
        <f>IF(W117="","",SUMIFS('Detailed Feasibility'!$M$65:$M$86,$C$65:$C$86,'Detailed Feasibility'!$B$142,'Detailed Feasibility'!$E$65:$E$86,'Detailed Feasibility'!W117)+SUMIFS($N$65:$N$86,$C$65:$C$86,$B$142,$F$65:$F$86,W117)+SUMIFS($O$65:$O$86,$C$65:$C$86,$B$142,$G$65:$G$86,W117))</f>
        <v>150000</v>
      </c>
      <c r="X142" s="259">
        <f>IF(X117="","",SUMIFS('Detailed Feasibility'!$M$65:$M$86,$C$65:$C$86,'Detailed Feasibility'!$B$142,'Detailed Feasibility'!$E$65:$E$86,'Detailed Feasibility'!X117)+SUMIFS($N$65:$N$86,$C$65:$C$86,$B$142,$F$65:$F$86,X117)+SUMIFS($O$65:$O$86,$C$65:$C$86,$B$142,$G$65:$G$86,X117))</f>
        <v>0</v>
      </c>
      <c r="Y142" s="259">
        <f>IF(Y117="","",SUMIFS('Detailed Feasibility'!$M$65:$M$86,$C$65:$C$86,'Detailed Feasibility'!$B$142,'Detailed Feasibility'!$E$65:$E$86,'Detailed Feasibility'!Y117)+SUMIFS($N$65:$N$86,$C$65:$C$86,$B$142,$F$65:$F$86,Y117)+SUMIFS($O$65:$O$86,$C$65:$C$86,$B$142,$G$65:$G$86,Y117))</f>
        <v>0</v>
      </c>
      <c r="Z142" s="259">
        <f>IF(Z117="","",SUMIFS('Detailed Feasibility'!$M$65:$M$86,$C$65:$C$86,'Detailed Feasibility'!$B$142,'Detailed Feasibility'!$E$65:$E$86,'Detailed Feasibility'!Z117)+SUMIFS($N$65:$N$86,$C$65:$C$86,$B$142,$F$65:$F$86,Z117)+SUMIFS($O$65:$O$86,$C$65:$C$86,$B$142,$G$65:$G$86,Z117))</f>
        <v>150000</v>
      </c>
      <c r="AA142" s="259">
        <f>IF(AA117="","",SUMIFS('Detailed Feasibility'!$M$65:$M$86,$C$65:$C$86,'Detailed Feasibility'!$B$142,'Detailed Feasibility'!$E$65:$E$86,'Detailed Feasibility'!AA117)+SUMIFS($N$65:$N$86,$C$65:$C$86,$B$142,$F$65:$F$86,AA117)+SUMIFS($O$65:$O$86,$C$65:$C$86,$B$142,$G$65:$G$86,AA117))</f>
        <v>0</v>
      </c>
      <c r="AB142" s="259">
        <f>IF(AB117="","",SUMIFS('Detailed Feasibility'!$M$65:$M$86,$C$65:$C$86,'Detailed Feasibility'!$B$142,'Detailed Feasibility'!$E$65:$E$86,'Detailed Feasibility'!AB117)+SUMIFS($N$65:$N$86,$C$65:$C$86,$B$142,$F$65:$F$86,AB117)+SUMIFS($O$65:$O$86,$C$65:$C$86,$B$142,$G$65:$G$86,AB117))</f>
        <v>0</v>
      </c>
      <c r="AC142" s="259">
        <f>IF(AC117="","",SUMIFS('Detailed Feasibility'!$M$65:$M$86,$C$65:$C$86,'Detailed Feasibility'!$B$142,'Detailed Feasibility'!$E$65:$E$86,'Detailed Feasibility'!AC117)+SUMIFS($N$65:$N$86,$C$65:$C$86,$B$142,$F$65:$F$86,AC117)+SUMIFS($O$65:$O$86,$C$65:$C$86,$B$142,$G$65:$G$86,AC117))</f>
        <v>0</v>
      </c>
      <c r="AD142" s="259">
        <f>IF(AD117="","",SUMIFS('Detailed Feasibility'!$M$65:$M$86,$C$65:$C$86,'Detailed Feasibility'!$B$142,'Detailed Feasibility'!$E$65:$E$86,'Detailed Feasibility'!AD117)+SUMIFS($N$65:$N$86,$C$65:$C$86,$B$142,$F$65:$F$86,AD117)+SUMIFS($O$65:$O$86,$C$65:$C$86,$B$142,$G$65:$G$86,AD117))</f>
        <v>0</v>
      </c>
      <c r="AE142" s="259">
        <f>IF(AE117="","",SUMIFS('Detailed Feasibility'!$M$65:$M$86,$C$65:$C$86,'Detailed Feasibility'!$B$142,'Detailed Feasibility'!$E$65:$E$86,'Detailed Feasibility'!AE117)+SUMIFS($N$65:$N$86,$C$65:$C$86,$B$142,$F$65:$F$86,AE117)+SUMIFS($O$65:$O$86,$C$65:$C$86,$B$142,$G$65:$G$86,AE117))</f>
        <v>0</v>
      </c>
      <c r="AF142" s="259" t="str">
        <f>IF(AF117="","",SUMIFS('Detailed Feasibility'!$M$65:$M$86,$C$65:$C$86,'Detailed Feasibility'!$B$142,'Detailed Feasibility'!$E$65:$E$86,'Detailed Feasibility'!AF117)+SUMIFS($N$65:$N$86,$C$65:$C$86,$B$142,$F$65:$F$86,AF117)+SUMIFS($O$65:$O$86,$C$65:$C$86,$B$142,$G$65:$G$86,AF117))</f>
        <v/>
      </c>
      <c r="AG142" s="259" t="str">
        <f>IF(AG117="","",SUMIFS('Detailed Feasibility'!$M$65:$M$86,$C$65:$C$86,'Detailed Feasibility'!$B$142,'Detailed Feasibility'!$E$65:$E$86,'Detailed Feasibility'!AG117)+SUMIFS($N$65:$N$86,$C$65:$C$86,$B$142,$F$65:$F$86,AG117)+SUMIFS($O$65:$O$86,$C$65:$C$86,$B$142,$G$65:$G$86,AG117))</f>
        <v/>
      </c>
      <c r="AH142" s="259" t="str">
        <f>IF(AH117="","",SUMIFS('Detailed Feasibility'!$M$65:$M$86,$C$65:$C$86,'Detailed Feasibility'!$B$142,'Detailed Feasibility'!$E$65:$E$86,'Detailed Feasibility'!AH117)+SUMIFS($N$65:$N$86,$C$65:$C$86,$B$142,$F$65:$F$86,AH117)+SUMIFS($O$65:$O$86,$C$65:$C$86,$B$142,$G$65:$G$86,AH117))</f>
        <v/>
      </c>
      <c r="AI142" s="259" t="str">
        <f>IF(AI117="","",SUMIFS('Detailed Feasibility'!$M$65:$M$86,$C$65:$C$86,'Detailed Feasibility'!$B$142,'Detailed Feasibility'!$E$65:$E$86,'Detailed Feasibility'!AI117)+SUMIFS($N$65:$N$86,$C$65:$C$86,$B$142,$F$65:$F$86,AI117)+SUMIFS($O$65:$O$86,$C$65:$C$86,$B$142,$G$65:$G$86,AI117))</f>
        <v/>
      </c>
      <c r="AJ142" s="259" t="str">
        <f>IF(AJ117="","",SUMIFS('Detailed Feasibility'!$M$65:$M$86,$C$65:$C$86,'Detailed Feasibility'!$B$142,'Detailed Feasibility'!$E$65:$E$86,'Detailed Feasibility'!AJ117)+SUMIFS($N$65:$N$86,$C$65:$C$86,$B$142,$F$65:$F$86,AJ117)+SUMIFS($O$65:$O$86,$C$65:$C$86,$B$142,$G$65:$G$86,AJ117))</f>
        <v/>
      </c>
      <c r="AK142" s="259" t="str">
        <f>IF(AK117="","",SUMIFS('Detailed Feasibility'!$M$65:$M$86,$C$65:$C$86,'Detailed Feasibility'!$B$142,'Detailed Feasibility'!$E$65:$E$86,'Detailed Feasibility'!AK117)+SUMIFS($N$65:$N$86,$C$65:$C$86,$B$142,$F$65:$F$86,AK117)+SUMIFS($O$65:$O$86,$C$65:$C$86,$B$142,$G$65:$G$86,AK117))</f>
        <v/>
      </c>
      <c r="AL142" s="259" t="str">
        <f>IF(AL117="","",SUMIFS('Detailed Feasibility'!$M$65:$M$86,$C$65:$C$86,'Detailed Feasibility'!$B$142,'Detailed Feasibility'!$E$65:$E$86,'Detailed Feasibility'!AL117)+SUMIFS($N$65:$N$86,$C$65:$C$86,$B$142,$F$65:$F$86,AL117)+SUMIFS($O$65:$O$86,$C$65:$C$86,$B$142,$G$65:$G$86,AL117))</f>
        <v/>
      </c>
      <c r="AM142" s="259" t="str">
        <f>IF(AM117="","",SUMIFS('Detailed Feasibility'!$M$65:$M$86,$C$65:$C$86,'Detailed Feasibility'!$B$142,'Detailed Feasibility'!$E$65:$E$86,'Detailed Feasibility'!AM117)+SUMIFS($N$65:$N$86,$C$65:$C$86,$B$142,$F$65:$F$86,AM117)+SUMIFS($O$65:$O$86,$C$65:$C$86,$B$142,$G$65:$G$86,AM117))</f>
        <v/>
      </c>
      <c r="AN142" s="259" t="str">
        <f>IF(AN117="","",SUMIFS('Detailed Feasibility'!$M$65:$M$86,$C$65:$C$86,'Detailed Feasibility'!$B$142,'Detailed Feasibility'!$E$65:$E$86,'Detailed Feasibility'!AN117)+SUMIFS($N$65:$N$86,$C$65:$C$86,$B$142,$F$65:$F$86,AN117)+SUMIFS($O$65:$O$86,$C$65:$C$86,$B$142,$G$65:$G$86,AN117))</f>
        <v/>
      </c>
      <c r="AO142" s="259" t="str">
        <f>IF(AO117="","",SUMIFS('Detailed Feasibility'!$M$65:$M$86,$C$65:$C$86,'Detailed Feasibility'!$B$142,'Detailed Feasibility'!$E$65:$E$86,'Detailed Feasibility'!AO117)+SUMIFS($N$65:$N$86,$C$65:$C$86,$B$142,$F$65:$F$86,AO117)+SUMIFS($O$65:$O$86,$C$65:$C$86,$B$142,$G$65:$G$86,AO117))</f>
        <v/>
      </c>
      <c r="AP142" s="259" t="str">
        <f>IF(AP117="","",SUMIFS('Detailed Feasibility'!$M$65:$M$86,$C$65:$C$86,'Detailed Feasibility'!$B$142,'Detailed Feasibility'!$E$65:$E$86,'Detailed Feasibility'!AP117)+SUMIFS($N$65:$N$86,$C$65:$C$86,$B$142,$F$65:$F$86,AP117)+SUMIFS($O$65:$O$86,$C$65:$C$86,$B$142,$G$65:$G$86,AP117))</f>
        <v/>
      </c>
      <c r="AQ142" s="259" t="str">
        <f>IF(AQ117="","",SUMIFS('Detailed Feasibility'!$M$65:$M$86,$C$65:$C$86,'Detailed Feasibility'!$B$142,'Detailed Feasibility'!$E$65:$E$86,'Detailed Feasibility'!AQ117)+SUMIFS($N$65:$N$86,$C$65:$C$86,$B$142,$F$65:$F$86,AQ117)+SUMIFS($O$65:$O$86,$C$65:$C$86,$B$142,$G$65:$G$86,AQ117))</f>
        <v/>
      </c>
      <c r="AR142" s="259" t="str">
        <f>IF(AR117="","",SUMIFS('Detailed Feasibility'!$M$65:$M$86,$C$65:$C$86,'Detailed Feasibility'!$B$142,'Detailed Feasibility'!$E$65:$E$86,'Detailed Feasibility'!AR117)+SUMIFS($N$65:$N$86,$C$65:$C$86,$B$142,$F$65:$F$86,AR117)+SUMIFS($O$65:$O$86,$C$65:$C$86,$B$142,$G$65:$G$86,AR117))</f>
        <v/>
      </c>
      <c r="AS142" s="259" t="str">
        <f>IF(AS117="","",SUMIFS('Detailed Feasibility'!$M$65:$M$86,$C$65:$C$86,'Detailed Feasibility'!$B$142,'Detailed Feasibility'!$E$65:$E$86,'Detailed Feasibility'!AS117)+SUMIFS($N$65:$N$86,$C$65:$C$86,$B$142,$F$65:$F$86,AS117)+SUMIFS($O$65:$O$86,$C$65:$C$86,$B$142,$G$65:$G$86,AS117))</f>
        <v/>
      </c>
      <c r="AT142" s="259" t="str">
        <f>IF(AT117="","",SUMIFS('Detailed Feasibility'!$M$65:$M$86,$C$65:$C$86,'Detailed Feasibility'!$B$142,'Detailed Feasibility'!$E$65:$E$86,'Detailed Feasibility'!AT117)+SUMIFS($N$65:$N$86,$C$65:$C$86,$B$142,$F$65:$F$86,AT117)+SUMIFS($O$65:$O$86,$C$65:$C$86,$B$142,$G$65:$G$86,AT117))</f>
        <v/>
      </c>
      <c r="AU142" s="259" t="str">
        <f>IF(AU117="","",SUMIFS('Detailed Feasibility'!$M$65:$M$86,$C$65:$C$86,'Detailed Feasibility'!$B$142,'Detailed Feasibility'!$E$65:$E$86,'Detailed Feasibility'!AU117)+SUMIFS($N$65:$N$86,$C$65:$C$86,$B$142,$F$65:$F$86,AU117)+SUMIFS($O$65:$O$86,$C$65:$C$86,$B$142,$G$65:$G$86,AU117))</f>
        <v/>
      </c>
      <c r="AV142" s="259" t="str">
        <f>IF(AV117="","",SUMIFS('Detailed Feasibility'!$M$65:$M$86,$C$65:$C$86,'Detailed Feasibility'!$B$142,'Detailed Feasibility'!$E$65:$E$86,'Detailed Feasibility'!AV117)+SUMIFS($N$65:$N$86,$C$65:$C$86,$B$142,$F$65:$F$86,AV117)+SUMIFS($O$65:$O$86,$C$65:$C$86,$B$142,$G$65:$G$86,AV117))</f>
        <v/>
      </c>
      <c r="AW142" s="259" t="str">
        <f>IF(AW117="","",SUMIFS('Detailed Feasibility'!$M$65:$M$86,$C$65:$C$86,'Detailed Feasibility'!$B$142,'Detailed Feasibility'!$E$65:$E$86,'Detailed Feasibility'!AW117)+SUMIFS($N$65:$N$86,$C$65:$C$86,$B$142,$F$65:$F$86,AW117)+SUMIFS($O$65:$O$86,$C$65:$C$86,$B$142,$G$65:$G$86,AW117))</f>
        <v/>
      </c>
      <c r="AX142" s="259" t="str">
        <f>IF(AX117="","",SUMIFS('Detailed Feasibility'!$M$65:$M$86,$C$65:$C$86,'Detailed Feasibility'!$B$142,'Detailed Feasibility'!$E$65:$E$86,'Detailed Feasibility'!AX117)+SUMIFS($N$65:$N$86,$C$65:$C$86,$B$142,$F$65:$F$86,AX117)+SUMIFS($O$65:$O$86,$C$65:$C$86,$B$142,$G$65:$G$86,AX117))</f>
        <v/>
      </c>
      <c r="AY142" s="259" t="str">
        <f>IF(AY117="","",SUMIFS('Detailed Feasibility'!$M$65:$M$86,$C$65:$C$86,'Detailed Feasibility'!$B$142,'Detailed Feasibility'!$E$65:$E$86,'Detailed Feasibility'!AY117)+SUMIFS($N$65:$N$86,$C$65:$C$86,$B$142,$F$65:$F$86,AY117)+SUMIFS($O$65:$O$86,$C$65:$C$86,$B$142,$G$65:$G$86,AY117))</f>
        <v/>
      </c>
      <c r="AZ142" s="259" t="str">
        <f>IF(AZ117="","",SUMIFS('Detailed Feasibility'!$M$65:$M$86,$C$65:$C$86,'Detailed Feasibility'!$B$142,'Detailed Feasibility'!$E$65:$E$86,'Detailed Feasibility'!AZ117)+SUMIFS($N$65:$N$86,$C$65:$C$86,$B$142,$F$65:$F$86,AZ117)+SUMIFS($O$65:$O$86,$C$65:$C$86,$B$142,$G$65:$G$86,AZ117))</f>
        <v/>
      </c>
      <c r="BA142" s="259" t="str">
        <f>IF(BA117="","",SUMIFS('Detailed Feasibility'!$M$65:$M$86,$C$65:$C$86,'Detailed Feasibility'!$B$142,'Detailed Feasibility'!$E$65:$E$86,'Detailed Feasibility'!BA117)+SUMIFS($N$65:$N$86,$C$65:$C$86,$B$142,$F$65:$F$86,BA117)+SUMIFS($O$65:$O$86,$C$65:$C$86,$B$142,$G$65:$G$86,BA117))</f>
        <v/>
      </c>
      <c r="BB142" s="259" t="str">
        <f>IF(BB117="","",SUMIFS('Detailed Feasibility'!$M$65:$M$86,$C$65:$C$86,'Detailed Feasibility'!$B$142,'Detailed Feasibility'!$E$65:$E$86,'Detailed Feasibility'!BB117)+SUMIFS($N$65:$N$86,$C$65:$C$86,$B$142,$F$65:$F$86,BB117)+SUMIFS($O$65:$O$86,$C$65:$C$86,$B$142,$G$65:$G$86,BB117))</f>
        <v/>
      </c>
      <c r="BC142" s="259" t="str">
        <f>IF(BC117="","",SUMIFS('Detailed Feasibility'!$M$65:$M$86,$C$65:$C$86,'Detailed Feasibility'!$B$142,'Detailed Feasibility'!$E$65:$E$86,'Detailed Feasibility'!BC117)+SUMIFS($N$65:$N$86,$C$65:$C$86,$B$142,$F$65:$F$86,BC117)+SUMIFS($O$65:$O$86,$C$65:$C$86,$B$142,$G$65:$G$86,BC117))</f>
        <v/>
      </c>
      <c r="BD142" s="259" t="str">
        <f>IF(BD117="","",SUMIFS('Detailed Feasibility'!$M$65:$M$86,$C$65:$C$86,'Detailed Feasibility'!$B$142,'Detailed Feasibility'!$E$65:$E$86,'Detailed Feasibility'!BD117)+SUMIFS($N$65:$N$86,$C$65:$C$86,$B$142,$F$65:$F$86,BD117)+SUMIFS($O$65:$O$86,$C$65:$C$86,$B$142,$G$65:$G$86,BD117))</f>
        <v/>
      </c>
      <c r="BE142" s="259" t="str">
        <f>IF(BE117="","",SUMIFS('Detailed Feasibility'!$M$65:$M$86,$C$65:$C$86,'Detailed Feasibility'!$B$142,'Detailed Feasibility'!$E$65:$E$86,'Detailed Feasibility'!BE117)+SUMIFS($N$65:$N$86,$C$65:$C$86,$B$142,$F$65:$F$86,BE117)+SUMIFS($O$65:$O$86,$C$65:$C$86,$B$142,$G$65:$G$86,BE117))</f>
        <v/>
      </c>
      <c r="BF142" s="259" t="str">
        <f>IF(BF117="","",SUMIFS('Detailed Feasibility'!$M$65:$M$86,$C$65:$C$86,'Detailed Feasibility'!$B$142,'Detailed Feasibility'!$E$65:$E$86,'Detailed Feasibility'!BF117)+SUMIFS($N$65:$N$86,$C$65:$C$86,$B$142,$F$65:$F$86,BF117)+SUMIFS($O$65:$O$86,$C$65:$C$86,$B$142,$G$65:$G$86,BF117))</f>
        <v/>
      </c>
      <c r="BG142" s="259" t="str">
        <f>IF(BG117="","",SUMIFS('Detailed Feasibility'!$M$65:$M$86,$C$65:$C$86,'Detailed Feasibility'!$B$142,'Detailed Feasibility'!$E$65:$E$86,'Detailed Feasibility'!BG117)+SUMIFS($N$65:$N$86,$C$65:$C$86,$B$142,$F$65:$F$86,BG117)+SUMIFS($O$65:$O$86,$C$65:$C$86,$B$142,$G$65:$G$86,BG117))</f>
        <v/>
      </c>
      <c r="BH142" s="259" t="str">
        <f>IF(BH117="","",SUMIFS('Detailed Feasibility'!$M$65:$M$86,$C$65:$C$86,'Detailed Feasibility'!$B$142,'Detailed Feasibility'!$E$65:$E$86,'Detailed Feasibility'!BH117)+SUMIFS($N$65:$N$86,$C$65:$C$86,$B$142,$F$65:$F$86,BH117)+SUMIFS($O$65:$O$86,$C$65:$C$86,$B$142,$G$65:$G$86,BH117))</f>
        <v/>
      </c>
      <c r="BI142" s="259" t="str">
        <f>IF(BI117="","",SUMIFS('Detailed Feasibility'!$M$65:$M$86,$C$65:$C$86,'Detailed Feasibility'!$B$142,'Detailed Feasibility'!$E$65:$E$86,'Detailed Feasibility'!BI117)+SUMIFS($N$65:$N$86,$C$65:$C$86,$B$142,$F$65:$F$86,BI117)+SUMIFS($O$65:$O$86,$C$65:$C$86,$B$142,$G$65:$G$86,BI117))</f>
        <v/>
      </c>
      <c r="BJ142" s="259" t="str">
        <f>IF(BJ117="","",SUMIFS('Detailed Feasibility'!$M$65:$M$86,$C$65:$C$86,'Detailed Feasibility'!$B$142,'Detailed Feasibility'!$E$65:$E$86,'Detailed Feasibility'!BJ117)+SUMIFS($N$65:$N$86,$C$65:$C$86,$B$142,$F$65:$F$86,BJ117)+SUMIFS($O$65:$O$86,$C$65:$C$86,$B$142,$G$65:$G$86,BJ117))</f>
        <v/>
      </c>
      <c r="BK142" s="259" t="str">
        <f>IF(BK117="","",SUMIFS('Detailed Feasibility'!$M$65:$M$86,$C$65:$C$86,'Detailed Feasibility'!$B$142,'Detailed Feasibility'!$E$65:$E$86,'Detailed Feasibility'!BK117)+SUMIFS($N$65:$N$86,$C$65:$C$86,$B$142,$F$65:$F$86,BK117)+SUMIFS($O$65:$O$86,$C$65:$C$86,$B$142,$G$65:$G$86,BK117))</f>
        <v/>
      </c>
      <c r="BL142" s="259" t="str">
        <f>IF(BL117="","",SUMIFS('Detailed Feasibility'!$M$65:$M$86,$C$65:$C$86,'Detailed Feasibility'!$B$142,'Detailed Feasibility'!$E$65:$E$86,'Detailed Feasibility'!BL117)+SUMIFS($N$65:$N$86,$C$65:$C$86,$B$142,$F$65:$F$86,BL117)+SUMIFS($O$65:$O$86,$C$65:$C$86,$B$142,$G$65:$G$86,BL117))</f>
        <v/>
      </c>
      <c r="BM142" s="260" t="str">
        <f>IF(BM117="","",SUMIFS('Detailed Feasibility'!$M$65:$M$86,$C$65:$C$86,'Detailed Feasibility'!$B$142,'Detailed Feasibility'!$E$65:$E$86,'Detailed Feasibility'!BM117)+SUMIFS($N$65:$N$86,$C$65:$C$86,$B$142,$F$65:$F$86,BM117)+SUMIFS($O$65:$O$86,$C$65:$C$86,$B$142,$G$65:$G$86,BM117))</f>
        <v/>
      </c>
    </row>
    <row r="143" spans="2:65" s="198" customFormat="1" x14ac:dyDescent="0.25">
      <c r="B143" s="353" t="str">
        <f t="shared" si="29"/>
        <v>4 Bed</v>
      </c>
      <c r="C143" s="736"/>
      <c r="D143" s="212">
        <f>'Detailed Feasibility Inputs'!F43</f>
        <v>600000</v>
      </c>
      <c r="E143" s="736">
        <f t="shared" si="30"/>
        <v>1</v>
      </c>
      <c r="F143" s="259">
        <f>SUMIFS('Detailed Feasibility'!$M$65:$M$86,$C$65:$C$86,'Detailed Feasibility'!$B$143,'Detailed Feasibility'!$E$65:$E$86,'Detailed Feasibility'!F117)+SUMIFS($N$65:$N$86,$C$65:$C$86,$B$143,$F$65:$F$86,F117)+SUMIFS($O$65:$O$86,$C$65:$C$86,$B$143,$G$65:$G$86,F117)</f>
        <v>0</v>
      </c>
      <c r="G143" s="259">
        <f>IF(G117="","",SUMIFS('Detailed Feasibility'!$M$65:$M$86,$C$65:$C$86,'Detailed Feasibility'!$B$143,'Detailed Feasibility'!$E$65:$E$86,'Detailed Feasibility'!G117)+SUMIFS($N$65:$N$86,$C$65:$C$86,$B$143,$F$65:$F$86,G117)+SUMIFS($O$65:$O$86,$C$65:$C$86,$B$143,$G$65:$G$86,G117))</f>
        <v>0</v>
      </c>
      <c r="H143" s="259">
        <f>IF(H117="","",SUMIFS('Detailed Feasibility'!$M$65:$M$86,$C$65:$C$86,'Detailed Feasibility'!$B$143,'Detailed Feasibility'!$E$65:$E$86,'Detailed Feasibility'!H117)+SUMIFS($N$65:$N$86,$C$65:$C$86,$B$143,$F$65:$F$86,H117)+SUMIFS($O$65:$O$86,$C$65:$C$86,$B$143,$G$65:$G$86,H117))</f>
        <v>0</v>
      </c>
      <c r="I143" s="259">
        <f>IF(I117="","",SUMIFS('Detailed Feasibility'!$M$65:$M$86,$C$65:$C$86,'Detailed Feasibility'!$B$143,'Detailed Feasibility'!$E$65:$E$86,'Detailed Feasibility'!I117)+SUMIFS($N$65:$N$86,$C$65:$C$86,$B$143,$F$65:$F$86,I117)+SUMIFS($O$65:$O$86,$C$65:$C$86,$B$143,$G$65:$G$86,I117))</f>
        <v>0</v>
      </c>
      <c r="J143" s="259">
        <f>IF(J117="","",SUMIFS('Detailed Feasibility'!$M$65:$M$86,$C$65:$C$86,'Detailed Feasibility'!$B$143,'Detailed Feasibility'!$E$65:$E$86,'Detailed Feasibility'!J117)+SUMIFS($N$65:$N$86,$C$65:$C$86,$B$143,$F$65:$F$86,J117)+SUMIFS($O$65:$O$86,$C$65:$C$86,$B$143,$G$65:$G$86,J117))</f>
        <v>0</v>
      </c>
      <c r="K143" s="259">
        <f>IF(K117="","",SUMIFS('Detailed Feasibility'!$M$65:$M$86,$C$65:$C$86,'Detailed Feasibility'!$B$143,'Detailed Feasibility'!$E$65:$E$86,'Detailed Feasibility'!K117)+SUMIFS($N$65:$N$86,$C$65:$C$86,$B$143,$F$65:$F$86,K117)+SUMIFS($O$65:$O$86,$C$65:$C$86,$B$143,$G$65:$G$86,K117))</f>
        <v>0</v>
      </c>
      <c r="L143" s="259">
        <f>IF(L117="","",SUMIFS('Detailed Feasibility'!$M$65:$M$86,$C$65:$C$86,'Detailed Feasibility'!$B$143,'Detailed Feasibility'!$E$65:$E$86,'Detailed Feasibility'!L117)+SUMIFS($N$65:$N$86,$C$65:$C$86,$B$143,$F$65:$F$86,L117)+SUMIFS($O$65:$O$86,$C$65:$C$86,$B$143,$G$65:$G$86,L117))</f>
        <v>0</v>
      </c>
      <c r="M143" s="259">
        <f>IF(M117="","",SUMIFS('Detailed Feasibility'!$M$65:$M$86,$C$65:$C$86,'Detailed Feasibility'!$B$143,'Detailed Feasibility'!$E$65:$E$86,'Detailed Feasibility'!M117)+SUMIFS($N$65:$N$86,$C$65:$C$86,$B$143,$F$65:$F$86,M117)+SUMIFS($O$65:$O$86,$C$65:$C$86,$B$143,$G$65:$G$86,M117))</f>
        <v>0</v>
      </c>
      <c r="N143" s="259">
        <f>IF(N117="","",SUMIFS('Detailed Feasibility'!$M$65:$M$86,$C$65:$C$86,'Detailed Feasibility'!$B$143,'Detailed Feasibility'!$E$65:$E$86,'Detailed Feasibility'!N117)+SUMIFS($N$65:$N$86,$C$65:$C$86,$B$143,$F$65:$F$86,N117)+SUMIFS($O$65:$O$86,$C$65:$C$86,$B$143,$G$65:$G$86,N117))</f>
        <v>0</v>
      </c>
      <c r="O143" s="259">
        <f>IF(O117="","",SUMIFS('Detailed Feasibility'!$M$65:$M$86,$C$65:$C$86,'Detailed Feasibility'!$B$143,'Detailed Feasibility'!$E$65:$E$86,'Detailed Feasibility'!O117)+SUMIFS($N$65:$N$86,$C$65:$C$86,$B$143,$F$65:$F$86,O117)+SUMIFS($O$65:$O$86,$C$65:$C$86,$B$143,$G$65:$G$86,O117))</f>
        <v>0</v>
      </c>
      <c r="P143" s="259">
        <f>IF(P117="","",SUMIFS('Detailed Feasibility'!$M$65:$M$86,$C$65:$C$86,'Detailed Feasibility'!$B$143,'Detailed Feasibility'!$E$65:$E$86,'Detailed Feasibility'!P117)+SUMIFS($N$65:$N$86,$C$65:$C$86,$B$143,$F$65:$F$86,P117)+SUMIFS($O$65:$O$86,$C$65:$C$86,$B$143,$G$65:$G$86,P117))</f>
        <v>0</v>
      </c>
      <c r="Q143" s="259">
        <f>IF(Q117="","",SUMIFS('Detailed Feasibility'!$M$65:$M$86,$C$65:$C$86,'Detailed Feasibility'!$B$143,'Detailed Feasibility'!$E$65:$E$86,'Detailed Feasibility'!Q117)+SUMIFS($N$65:$N$86,$C$65:$C$86,$B$143,$F$65:$F$86,Q117)+SUMIFS($O$65:$O$86,$C$65:$C$86,$B$143,$G$65:$G$86,Q117))</f>
        <v>0</v>
      </c>
      <c r="R143" s="259">
        <f>IF(R117="","",SUMIFS('Detailed Feasibility'!$M$65:$M$86,$C$65:$C$86,'Detailed Feasibility'!$B$143,'Detailed Feasibility'!$E$65:$E$86,'Detailed Feasibility'!R117)+SUMIFS($N$65:$N$86,$C$65:$C$86,$B$143,$F$65:$F$86,R117)+SUMIFS($O$65:$O$86,$C$65:$C$86,$B$143,$G$65:$G$86,R117))</f>
        <v>0</v>
      </c>
      <c r="S143" s="259">
        <f>IF(S117="","",SUMIFS('Detailed Feasibility'!$M$65:$M$86,$C$65:$C$86,'Detailed Feasibility'!$B$143,'Detailed Feasibility'!$E$65:$E$86,'Detailed Feasibility'!S117)+SUMIFS($N$65:$N$86,$C$65:$C$86,$B$143,$F$65:$F$86,S117)+SUMIFS($O$65:$O$86,$C$65:$C$86,$B$143,$G$65:$G$86,S117))</f>
        <v>100000</v>
      </c>
      <c r="T143" s="259">
        <f>IF(T117="","",SUMIFS('Detailed Feasibility'!$M$65:$M$86,$C$65:$C$86,'Detailed Feasibility'!$B$143,'Detailed Feasibility'!$E$65:$E$86,'Detailed Feasibility'!T117)+SUMIFS($N$65:$N$86,$C$65:$C$86,$B$143,$F$65:$F$86,T117)+SUMIFS($O$65:$O$86,$C$65:$C$86,$B$143,$G$65:$G$86,T117))</f>
        <v>0</v>
      </c>
      <c r="U143" s="259">
        <f>IF(U117="","",SUMIFS('Detailed Feasibility'!$M$65:$M$86,$C$65:$C$86,'Detailed Feasibility'!$B$143,'Detailed Feasibility'!$E$65:$E$86,'Detailed Feasibility'!U117)+SUMIFS($N$65:$N$86,$C$65:$C$86,$B$143,$F$65:$F$86,U117)+SUMIFS($O$65:$O$86,$C$65:$C$86,$B$143,$G$65:$G$86,U117))</f>
        <v>0</v>
      </c>
      <c r="V143" s="259">
        <f>IF(V117="","",SUMIFS('Detailed Feasibility'!$M$65:$M$86,$C$65:$C$86,'Detailed Feasibility'!$B$143,'Detailed Feasibility'!$E$65:$E$86,'Detailed Feasibility'!V117)+SUMIFS($N$65:$N$86,$C$65:$C$86,$B$143,$F$65:$F$86,V117)+SUMIFS($O$65:$O$86,$C$65:$C$86,$B$143,$G$65:$G$86,V117))</f>
        <v>100000</v>
      </c>
      <c r="W143" s="259">
        <f>IF(W117="","",SUMIFS('Detailed Feasibility'!$M$65:$M$86,$C$65:$C$86,'Detailed Feasibility'!$B$143,'Detailed Feasibility'!$E$65:$E$86,'Detailed Feasibility'!W117)+SUMIFS($N$65:$N$86,$C$65:$C$86,$B$143,$F$65:$F$86,W117)+SUMIFS($O$65:$O$86,$C$65:$C$86,$B$143,$G$65:$G$86,W117))</f>
        <v>100000</v>
      </c>
      <c r="X143" s="259">
        <f>IF(X117="","",SUMIFS('Detailed Feasibility'!$M$65:$M$86,$C$65:$C$86,'Detailed Feasibility'!$B$143,'Detailed Feasibility'!$E$65:$E$86,'Detailed Feasibility'!X117)+SUMIFS($N$65:$N$86,$C$65:$C$86,$B$143,$F$65:$F$86,X117)+SUMIFS($O$65:$O$86,$C$65:$C$86,$B$143,$G$65:$G$86,X117))</f>
        <v>0</v>
      </c>
      <c r="Y143" s="259">
        <f>IF(Y117="","",SUMIFS('Detailed Feasibility'!$M$65:$M$86,$C$65:$C$86,'Detailed Feasibility'!$B$143,'Detailed Feasibility'!$E$65:$E$86,'Detailed Feasibility'!Y117)+SUMIFS($N$65:$N$86,$C$65:$C$86,$B$143,$F$65:$F$86,Y117)+SUMIFS($O$65:$O$86,$C$65:$C$86,$B$143,$G$65:$G$86,Y117))</f>
        <v>0</v>
      </c>
      <c r="Z143" s="259">
        <f>IF(Z117="","",SUMIFS('Detailed Feasibility'!$M$65:$M$86,$C$65:$C$86,'Detailed Feasibility'!$B$143,'Detailed Feasibility'!$E$65:$E$86,'Detailed Feasibility'!Z117)+SUMIFS($N$65:$N$86,$C$65:$C$86,$B$143,$F$65:$F$86,Z117)+SUMIFS($O$65:$O$86,$C$65:$C$86,$B$143,$G$65:$G$86,Z117))</f>
        <v>100000</v>
      </c>
      <c r="AA143" s="259">
        <f>IF(AA117="","",SUMIFS('Detailed Feasibility'!$M$65:$M$86,$C$65:$C$86,'Detailed Feasibility'!$B$143,'Detailed Feasibility'!$E$65:$E$86,'Detailed Feasibility'!AA117)+SUMIFS($N$65:$N$86,$C$65:$C$86,$B$143,$F$65:$F$86,AA117)+SUMIFS($O$65:$O$86,$C$65:$C$86,$B$143,$G$65:$G$86,AA117))</f>
        <v>0</v>
      </c>
      <c r="AB143" s="259">
        <f>IF(AB117="","",SUMIFS('Detailed Feasibility'!$M$65:$M$86,$C$65:$C$86,'Detailed Feasibility'!$B$143,'Detailed Feasibility'!$E$65:$E$86,'Detailed Feasibility'!AB117)+SUMIFS($N$65:$N$86,$C$65:$C$86,$B$143,$F$65:$F$86,AB117)+SUMIFS($O$65:$O$86,$C$65:$C$86,$B$143,$G$65:$G$86,AB117))</f>
        <v>0</v>
      </c>
      <c r="AC143" s="259">
        <f>IF(AC117="","",SUMIFS('Detailed Feasibility'!$M$65:$M$86,$C$65:$C$86,'Detailed Feasibility'!$B$143,'Detailed Feasibility'!$E$65:$E$86,'Detailed Feasibility'!AC117)+SUMIFS($N$65:$N$86,$C$65:$C$86,$B$143,$F$65:$F$86,AC117)+SUMIFS($O$65:$O$86,$C$65:$C$86,$B$143,$G$65:$G$86,AC117))</f>
        <v>100000</v>
      </c>
      <c r="AD143" s="259">
        <f>IF(AD117="","",SUMIFS('Detailed Feasibility'!$M$65:$M$86,$C$65:$C$86,'Detailed Feasibility'!$B$143,'Detailed Feasibility'!$E$65:$E$86,'Detailed Feasibility'!AD117)+SUMIFS($N$65:$N$86,$C$65:$C$86,$B$143,$F$65:$F$86,AD117)+SUMIFS($O$65:$O$86,$C$65:$C$86,$B$143,$G$65:$G$86,AD117))</f>
        <v>100000</v>
      </c>
      <c r="AE143" s="259">
        <f>IF(AE117="","",SUMIFS('Detailed Feasibility'!$M$65:$M$86,$C$65:$C$86,'Detailed Feasibility'!$B$143,'Detailed Feasibility'!$E$65:$E$86,'Detailed Feasibility'!AE117)+SUMIFS($N$65:$N$86,$C$65:$C$86,$B$143,$F$65:$F$86,AE117)+SUMIFS($O$65:$O$86,$C$65:$C$86,$B$143,$G$65:$G$86,AE117))</f>
        <v>0</v>
      </c>
      <c r="AF143" s="259" t="str">
        <f>IF(AF117="","",SUMIFS('Detailed Feasibility'!$M$65:$M$86,$C$65:$C$86,'Detailed Feasibility'!$B$143,'Detailed Feasibility'!$E$65:$E$86,'Detailed Feasibility'!AF117)+SUMIFS($N$65:$N$86,$C$65:$C$86,$B$143,$F$65:$F$86,AF117)+SUMIFS($O$65:$O$86,$C$65:$C$86,$B$143,$G$65:$G$86,AF117))</f>
        <v/>
      </c>
      <c r="AG143" s="259" t="str">
        <f>IF(AG117="","",SUMIFS('Detailed Feasibility'!$M$65:$M$86,$C$65:$C$86,'Detailed Feasibility'!$B$143,'Detailed Feasibility'!$E$65:$E$86,'Detailed Feasibility'!AG117)+SUMIFS($N$65:$N$86,$C$65:$C$86,$B$143,$F$65:$F$86,AG117)+SUMIFS($O$65:$O$86,$C$65:$C$86,$B$143,$G$65:$G$86,AG117))</f>
        <v/>
      </c>
      <c r="AH143" s="259" t="str">
        <f>IF(AH117="","",SUMIFS('Detailed Feasibility'!$M$65:$M$86,$C$65:$C$86,'Detailed Feasibility'!$B$143,'Detailed Feasibility'!$E$65:$E$86,'Detailed Feasibility'!AH117)+SUMIFS($N$65:$N$86,$C$65:$C$86,$B$143,$F$65:$F$86,AH117)+SUMIFS($O$65:$O$86,$C$65:$C$86,$B$143,$G$65:$G$86,AH117))</f>
        <v/>
      </c>
      <c r="AI143" s="259" t="str">
        <f>IF(AI117="","",SUMIFS('Detailed Feasibility'!$M$65:$M$86,$C$65:$C$86,'Detailed Feasibility'!$B$143,'Detailed Feasibility'!$E$65:$E$86,'Detailed Feasibility'!AI117)+SUMIFS($N$65:$N$86,$C$65:$C$86,$B$143,$F$65:$F$86,AI117)+SUMIFS($O$65:$O$86,$C$65:$C$86,$B$143,$G$65:$G$86,AI117))</f>
        <v/>
      </c>
      <c r="AJ143" s="259" t="str">
        <f>IF(AJ117="","",SUMIFS('Detailed Feasibility'!$M$65:$M$86,$C$65:$C$86,'Detailed Feasibility'!$B$143,'Detailed Feasibility'!$E$65:$E$86,'Detailed Feasibility'!AJ117)+SUMIFS($N$65:$N$86,$C$65:$C$86,$B$143,$F$65:$F$86,AJ117)+SUMIFS($O$65:$O$86,$C$65:$C$86,$B$143,$G$65:$G$86,AJ117))</f>
        <v/>
      </c>
      <c r="AK143" s="259" t="str">
        <f>IF(AK117="","",SUMIFS('Detailed Feasibility'!$M$65:$M$86,$C$65:$C$86,'Detailed Feasibility'!$B$143,'Detailed Feasibility'!$E$65:$E$86,'Detailed Feasibility'!AK117)+SUMIFS($N$65:$N$86,$C$65:$C$86,$B$143,$F$65:$F$86,AK117)+SUMIFS($O$65:$O$86,$C$65:$C$86,$B$143,$G$65:$G$86,AK117))</f>
        <v/>
      </c>
      <c r="AL143" s="259" t="str">
        <f>IF(AL117="","",SUMIFS('Detailed Feasibility'!$M$65:$M$86,$C$65:$C$86,'Detailed Feasibility'!$B$143,'Detailed Feasibility'!$E$65:$E$86,'Detailed Feasibility'!AL117)+SUMIFS($N$65:$N$86,$C$65:$C$86,$B$143,$F$65:$F$86,AL117)+SUMIFS($O$65:$O$86,$C$65:$C$86,$B$143,$G$65:$G$86,AL117))</f>
        <v/>
      </c>
      <c r="AM143" s="259" t="str">
        <f>IF(AM117="","",SUMIFS('Detailed Feasibility'!$M$65:$M$86,$C$65:$C$86,'Detailed Feasibility'!$B$143,'Detailed Feasibility'!$E$65:$E$86,'Detailed Feasibility'!AM117)+SUMIFS($N$65:$N$86,$C$65:$C$86,$B$143,$F$65:$F$86,AM117)+SUMIFS($O$65:$O$86,$C$65:$C$86,$B$143,$G$65:$G$86,AM117))</f>
        <v/>
      </c>
      <c r="AN143" s="259" t="str">
        <f>IF(AN117="","",SUMIFS('Detailed Feasibility'!$M$65:$M$86,$C$65:$C$86,'Detailed Feasibility'!$B$143,'Detailed Feasibility'!$E$65:$E$86,'Detailed Feasibility'!AN117)+SUMIFS($N$65:$N$86,$C$65:$C$86,$B$143,$F$65:$F$86,AN117)+SUMIFS($O$65:$O$86,$C$65:$C$86,$B$143,$G$65:$G$86,AN117))</f>
        <v/>
      </c>
      <c r="AO143" s="259" t="str">
        <f>IF(AO117="","",SUMIFS('Detailed Feasibility'!$M$65:$M$86,$C$65:$C$86,'Detailed Feasibility'!$B$143,'Detailed Feasibility'!$E$65:$E$86,'Detailed Feasibility'!AO117)+SUMIFS($N$65:$N$86,$C$65:$C$86,$B$143,$F$65:$F$86,AO117)+SUMIFS($O$65:$O$86,$C$65:$C$86,$B$143,$G$65:$G$86,AO117))</f>
        <v/>
      </c>
      <c r="AP143" s="259" t="str">
        <f>IF(AP117="","",SUMIFS('Detailed Feasibility'!$M$65:$M$86,$C$65:$C$86,'Detailed Feasibility'!$B$143,'Detailed Feasibility'!$E$65:$E$86,'Detailed Feasibility'!AP117)+SUMIFS($N$65:$N$86,$C$65:$C$86,$B$143,$F$65:$F$86,AP117)+SUMIFS($O$65:$O$86,$C$65:$C$86,$B$143,$G$65:$G$86,AP117))</f>
        <v/>
      </c>
      <c r="AQ143" s="259" t="str">
        <f>IF(AQ117="","",SUMIFS('Detailed Feasibility'!$M$65:$M$86,$C$65:$C$86,'Detailed Feasibility'!$B$143,'Detailed Feasibility'!$E$65:$E$86,'Detailed Feasibility'!AQ117)+SUMIFS($N$65:$N$86,$C$65:$C$86,$B$143,$F$65:$F$86,AQ117)+SUMIFS($O$65:$O$86,$C$65:$C$86,$B$143,$G$65:$G$86,AQ117))</f>
        <v/>
      </c>
      <c r="AR143" s="259" t="str">
        <f>IF(AR117="","",SUMIFS('Detailed Feasibility'!$M$65:$M$86,$C$65:$C$86,'Detailed Feasibility'!$B$143,'Detailed Feasibility'!$E$65:$E$86,'Detailed Feasibility'!AR117)+SUMIFS($N$65:$N$86,$C$65:$C$86,$B$143,$F$65:$F$86,AR117)+SUMIFS($O$65:$O$86,$C$65:$C$86,$B$143,$G$65:$G$86,AR117))</f>
        <v/>
      </c>
      <c r="AS143" s="259" t="str">
        <f>IF(AS117="","",SUMIFS('Detailed Feasibility'!$M$65:$M$86,$C$65:$C$86,'Detailed Feasibility'!$B$143,'Detailed Feasibility'!$E$65:$E$86,'Detailed Feasibility'!AS117)+SUMIFS($N$65:$N$86,$C$65:$C$86,$B$143,$F$65:$F$86,AS117)+SUMIFS($O$65:$O$86,$C$65:$C$86,$B$143,$G$65:$G$86,AS117))</f>
        <v/>
      </c>
      <c r="AT143" s="259" t="str">
        <f>IF(AT117="","",SUMIFS('Detailed Feasibility'!$M$65:$M$86,$C$65:$C$86,'Detailed Feasibility'!$B$143,'Detailed Feasibility'!$E$65:$E$86,'Detailed Feasibility'!AT117)+SUMIFS($N$65:$N$86,$C$65:$C$86,$B$143,$F$65:$F$86,AT117)+SUMIFS($O$65:$O$86,$C$65:$C$86,$B$143,$G$65:$G$86,AT117))</f>
        <v/>
      </c>
      <c r="AU143" s="259" t="str">
        <f>IF(AU117="","",SUMIFS('Detailed Feasibility'!$M$65:$M$86,$C$65:$C$86,'Detailed Feasibility'!$B$143,'Detailed Feasibility'!$E$65:$E$86,'Detailed Feasibility'!AU117)+SUMIFS($N$65:$N$86,$C$65:$C$86,$B$143,$F$65:$F$86,AU117)+SUMIFS($O$65:$O$86,$C$65:$C$86,$B$143,$G$65:$G$86,AU117))</f>
        <v/>
      </c>
      <c r="AV143" s="259" t="str">
        <f>IF(AV117="","",SUMIFS('Detailed Feasibility'!$M$65:$M$86,$C$65:$C$86,'Detailed Feasibility'!$B$143,'Detailed Feasibility'!$E$65:$E$86,'Detailed Feasibility'!AV117)+SUMIFS($N$65:$N$86,$C$65:$C$86,$B$143,$F$65:$F$86,AV117)+SUMIFS($O$65:$O$86,$C$65:$C$86,$B$143,$G$65:$G$86,AV117))</f>
        <v/>
      </c>
      <c r="AW143" s="259" t="str">
        <f>IF(AW117="","",SUMIFS('Detailed Feasibility'!$M$65:$M$86,$C$65:$C$86,'Detailed Feasibility'!$B$143,'Detailed Feasibility'!$E$65:$E$86,'Detailed Feasibility'!AW117)+SUMIFS($N$65:$N$86,$C$65:$C$86,$B$143,$F$65:$F$86,AW117)+SUMIFS($O$65:$O$86,$C$65:$C$86,$B$143,$G$65:$G$86,AW117))</f>
        <v/>
      </c>
      <c r="AX143" s="259" t="str">
        <f>IF(AX117="","",SUMIFS('Detailed Feasibility'!$M$65:$M$86,$C$65:$C$86,'Detailed Feasibility'!$B$143,'Detailed Feasibility'!$E$65:$E$86,'Detailed Feasibility'!AX117)+SUMIFS($N$65:$N$86,$C$65:$C$86,$B$143,$F$65:$F$86,AX117)+SUMIFS($O$65:$O$86,$C$65:$C$86,$B$143,$G$65:$G$86,AX117))</f>
        <v/>
      </c>
      <c r="AY143" s="259" t="str">
        <f>IF(AY117="","",SUMIFS('Detailed Feasibility'!$M$65:$M$86,$C$65:$C$86,'Detailed Feasibility'!$B$143,'Detailed Feasibility'!$E$65:$E$86,'Detailed Feasibility'!AY117)+SUMIFS($N$65:$N$86,$C$65:$C$86,$B$143,$F$65:$F$86,AY117)+SUMIFS($O$65:$O$86,$C$65:$C$86,$B$143,$G$65:$G$86,AY117))</f>
        <v/>
      </c>
      <c r="AZ143" s="259" t="str">
        <f>IF(AZ117="","",SUMIFS('Detailed Feasibility'!$M$65:$M$86,$C$65:$C$86,'Detailed Feasibility'!$B$143,'Detailed Feasibility'!$E$65:$E$86,'Detailed Feasibility'!AZ117)+SUMIFS($N$65:$N$86,$C$65:$C$86,$B$143,$F$65:$F$86,AZ117)+SUMIFS($O$65:$O$86,$C$65:$C$86,$B$143,$G$65:$G$86,AZ117))</f>
        <v/>
      </c>
      <c r="BA143" s="259" t="str">
        <f>IF(BA117="","",SUMIFS('Detailed Feasibility'!$M$65:$M$86,$C$65:$C$86,'Detailed Feasibility'!$B$143,'Detailed Feasibility'!$E$65:$E$86,'Detailed Feasibility'!BA117)+SUMIFS($N$65:$N$86,$C$65:$C$86,$B$143,$F$65:$F$86,BA117)+SUMIFS($O$65:$O$86,$C$65:$C$86,$B$143,$G$65:$G$86,BA117))</f>
        <v/>
      </c>
      <c r="BB143" s="259" t="str">
        <f>IF(BB117="","",SUMIFS('Detailed Feasibility'!$M$65:$M$86,$C$65:$C$86,'Detailed Feasibility'!$B$143,'Detailed Feasibility'!$E$65:$E$86,'Detailed Feasibility'!BB117)+SUMIFS($N$65:$N$86,$C$65:$C$86,$B$143,$F$65:$F$86,BB117)+SUMIFS($O$65:$O$86,$C$65:$C$86,$B$143,$G$65:$G$86,BB117))</f>
        <v/>
      </c>
      <c r="BC143" s="259" t="str">
        <f>IF(BC117="","",SUMIFS('Detailed Feasibility'!$M$65:$M$86,$C$65:$C$86,'Detailed Feasibility'!$B$143,'Detailed Feasibility'!$E$65:$E$86,'Detailed Feasibility'!BC117)+SUMIFS($N$65:$N$86,$C$65:$C$86,$B$143,$F$65:$F$86,BC117)+SUMIFS($O$65:$O$86,$C$65:$C$86,$B$143,$G$65:$G$86,BC117))</f>
        <v/>
      </c>
      <c r="BD143" s="259" t="str">
        <f>IF(BD117="","",SUMIFS('Detailed Feasibility'!$M$65:$M$86,$C$65:$C$86,'Detailed Feasibility'!$B$143,'Detailed Feasibility'!$E$65:$E$86,'Detailed Feasibility'!BD117)+SUMIFS($N$65:$N$86,$C$65:$C$86,$B$143,$F$65:$F$86,BD117)+SUMIFS($O$65:$O$86,$C$65:$C$86,$B$143,$G$65:$G$86,BD117))</f>
        <v/>
      </c>
      <c r="BE143" s="259" t="str">
        <f>IF(BE117="","",SUMIFS('Detailed Feasibility'!$M$65:$M$86,$C$65:$C$86,'Detailed Feasibility'!$B$143,'Detailed Feasibility'!$E$65:$E$86,'Detailed Feasibility'!BE117)+SUMIFS($N$65:$N$86,$C$65:$C$86,$B$143,$F$65:$F$86,BE117)+SUMIFS($O$65:$O$86,$C$65:$C$86,$B$143,$G$65:$G$86,BE117))</f>
        <v/>
      </c>
      <c r="BF143" s="259" t="str">
        <f>IF(BF117="","",SUMIFS('Detailed Feasibility'!$M$65:$M$86,$C$65:$C$86,'Detailed Feasibility'!$B$143,'Detailed Feasibility'!$E$65:$E$86,'Detailed Feasibility'!BF117)+SUMIFS($N$65:$N$86,$C$65:$C$86,$B$143,$F$65:$F$86,BF117)+SUMIFS($O$65:$O$86,$C$65:$C$86,$B$143,$G$65:$G$86,BF117))</f>
        <v/>
      </c>
      <c r="BG143" s="259" t="str">
        <f>IF(BG117="","",SUMIFS('Detailed Feasibility'!$M$65:$M$86,$C$65:$C$86,'Detailed Feasibility'!$B$143,'Detailed Feasibility'!$E$65:$E$86,'Detailed Feasibility'!BG117)+SUMIFS($N$65:$N$86,$C$65:$C$86,$B$143,$F$65:$F$86,BG117)+SUMIFS($O$65:$O$86,$C$65:$C$86,$B$143,$G$65:$G$86,BG117))</f>
        <v/>
      </c>
      <c r="BH143" s="259" t="str">
        <f>IF(BH117="","",SUMIFS('Detailed Feasibility'!$M$65:$M$86,$C$65:$C$86,'Detailed Feasibility'!$B$143,'Detailed Feasibility'!$E$65:$E$86,'Detailed Feasibility'!BH117)+SUMIFS($N$65:$N$86,$C$65:$C$86,$B$143,$F$65:$F$86,BH117)+SUMIFS($O$65:$O$86,$C$65:$C$86,$B$143,$G$65:$G$86,BH117))</f>
        <v/>
      </c>
      <c r="BI143" s="259" t="str">
        <f>IF(BI117="","",SUMIFS('Detailed Feasibility'!$M$65:$M$86,$C$65:$C$86,'Detailed Feasibility'!$B$143,'Detailed Feasibility'!$E$65:$E$86,'Detailed Feasibility'!BI117)+SUMIFS($N$65:$N$86,$C$65:$C$86,$B$143,$F$65:$F$86,BI117)+SUMIFS($O$65:$O$86,$C$65:$C$86,$B$143,$G$65:$G$86,BI117))</f>
        <v/>
      </c>
      <c r="BJ143" s="259" t="str">
        <f>IF(BJ117="","",SUMIFS('Detailed Feasibility'!$M$65:$M$86,$C$65:$C$86,'Detailed Feasibility'!$B$143,'Detailed Feasibility'!$E$65:$E$86,'Detailed Feasibility'!BJ117)+SUMIFS($N$65:$N$86,$C$65:$C$86,$B$143,$F$65:$F$86,BJ117)+SUMIFS($O$65:$O$86,$C$65:$C$86,$B$143,$G$65:$G$86,BJ117))</f>
        <v/>
      </c>
      <c r="BK143" s="259" t="str">
        <f>IF(BK117="","",SUMIFS('Detailed Feasibility'!$M$65:$M$86,$C$65:$C$86,'Detailed Feasibility'!$B$143,'Detailed Feasibility'!$E$65:$E$86,'Detailed Feasibility'!BK117)+SUMIFS($N$65:$N$86,$C$65:$C$86,$B$143,$F$65:$F$86,BK117)+SUMIFS($O$65:$O$86,$C$65:$C$86,$B$143,$G$65:$G$86,BK117))</f>
        <v/>
      </c>
      <c r="BL143" s="259" t="str">
        <f>IF(BL117="","",SUMIFS('Detailed Feasibility'!$M$65:$M$86,$C$65:$C$86,'Detailed Feasibility'!$B$143,'Detailed Feasibility'!$E$65:$E$86,'Detailed Feasibility'!BL117)+SUMIFS($N$65:$N$86,$C$65:$C$86,$B$143,$F$65:$F$86,BL117)+SUMIFS($O$65:$O$86,$C$65:$C$86,$B$143,$G$65:$G$86,BL117))</f>
        <v/>
      </c>
      <c r="BM143" s="260" t="str">
        <f>IF(BM117="","",SUMIFS('Detailed Feasibility'!$M$65:$M$86,$C$65:$C$86,'Detailed Feasibility'!$B$143,'Detailed Feasibility'!$E$65:$E$86,'Detailed Feasibility'!BM117)+SUMIFS($N$65:$N$86,$C$65:$C$86,$B$143,$F$65:$F$86,BM117)+SUMIFS($O$65:$O$86,$C$65:$C$86,$B$143,$G$65:$G$86,BM117))</f>
        <v/>
      </c>
    </row>
    <row r="144" spans="2:65" s="198" customFormat="1" x14ac:dyDescent="0.25">
      <c r="B144" s="353" t="str">
        <f t="shared" si="29"/>
        <v>5 Bed</v>
      </c>
      <c r="C144" s="736"/>
      <c r="D144" s="212">
        <f>'Detailed Feasibility Inputs'!F44</f>
        <v>650000</v>
      </c>
      <c r="E144" s="736">
        <f t="shared" si="30"/>
        <v>1</v>
      </c>
      <c r="F144" s="259">
        <f>SUMIFS('Detailed Feasibility'!$M$65:$M$86,$C$65:$C$86,'Detailed Feasibility'!$B$144,'Detailed Feasibility'!$E$65:$E$86,'Detailed Feasibility'!F117)+SUMIFS($N$65:$N$86,$C$65:$C$86,$B$144,$F$65:$F$86,F117)+SUMIFS($O$65:$O$86,$C$65:$C$86,$B$144,$G$65:$G$86,F117)</f>
        <v>0</v>
      </c>
      <c r="G144" s="259">
        <f>IF(G117="","",SUMIFS('Detailed Feasibility'!$M$65:$M$86,$C$65:$C$86,'Detailed Feasibility'!$B$144,'Detailed Feasibility'!$E$65:$E$86,'Detailed Feasibility'!G117)+SUMIFS($N$65:$N$86,$C$65:$C$86,$B$144,$F$65:$F$86,G117)+SUMIFS($O$65:$O$86,$C$65:$C$86,$B$144,$G$65:$G$86,G117))</f>
        <v>0</v>
      </c>
      <c r="H144" s="259">
        <f>IF(H117="","",SUMIFS('Detailed Feasibility'!$M$65:$M$86,$C$65:$C$86,'Detailed Feasibility'!$B$144,'Detailed Feasibility'!$E$65:$E$86,'Detailed Feasibility'!H117)+SUMIFS($N$65:$N$86,$C$65:$C$86,$B$144,$F$65:$F$86,H117)+SUMIFS($O$65:$O$86,$C$65:$C$86,$B$144,$G$65:$G$86,H117))</f>
        <v>0</v>
      </c>
      <c r="I144" s="259">
        <f>IF(I117="","",SUMIFS('Detailed Feasibility'!$M$65:$M$86,$C$65:$C$86,'Detailed Feasibility'!$B$144,'Detailed Feasibility'!$E$65:$E$86,'Detailed Feasibility'!I117)+SUMIFS($N$65:$N$86,$C$65:$C$86,$B$144,$F$65:$F$86,I117)+SUMIFS($O$65:$O$86,$C$65:$C$86,$B$144,$G$65:$G$86,I117))</f>
        <v>0</v>
      </c>
      <c r="J144" s="259">
        <f>IF(J117="","",SUMIFS('Detailed Feasibility'!$M$65:$M$86,$C$65:$C$86,'Detailed Feasibility'!$B$144,'Detailed Feasibility'!$E$65:$E$86,'Detailed Feasibility'!J117)+SUMIFS($N$65:$N$86,$C$65:$C$86,$B$144,$F$65:$F$86,J117)+SUMIFS($O$65:$O$86,$C$65:$C$86,$B$144,$G$65:$G$86,J117))</f>
        <v>0</v>
      </c>
      <c r="K144" s="259">
        <f>IF(K117="","",SUMIFS('Detailed Feasibility'!$M$65:$M$86,$C$65:$C$86,'Detailed Feasibility'!$B$144,'Detailed Feasibility'!$E$65:$E$86,'Detailed Feasibility'!K117)+SUMIFS($N$65:$N$86,$C$65:$C$86,$B$144,$F$65:$F$86,K117)+SUMIFS($O$65:$O$86,$C$65:$C$86,$B$144,$G$65:$G$86,K117))</f>
        <v>0</v>
      </c>
      <c r="L144" s="259">
        <f>IF(L117="","",SUMIFS('Detailed Feasibility'!$M$65:$M$86,$C$65:$C$86,'Detailed Feasibility'!$B$144,'Detailed Feasibility'!$E$65:$E$86,'Detailed Feasibility'!L117)+SUMIFS($N$65:$N$86,$C$65:$C$86,$B$144,$F$65:$F$86,L117)+SUMIFS($O$65:$O$86,$C$65:$C$86,$B$144,$G$65:$G$86,L117))</f>
        <v>0</v>
      </c>
      <c r="M144" s="259">
        <f>IF(M117="","",SUMIFS('Detailed Feasibility'!$M$65:$M$86,$C$65:$C$86,'Detailed Feasibility'!$B$144,'Detailed Feasibility'!$E$65:$E$86,'Detailed Feasibility'!M117)+SUMIFS($N$65:$N$86,$C$65:$C$86,$B$144,$F$65:$F$86,M117)+SUMIFS($O$65:$O$86,$C$65:$C$86,$B$144,$G$65:$G$86,M117))</f>
        <v>0</v>
      </c>
      <c r="N144" s="259">
        <f>IF(N117="","",SUMIFS('Detailed Feasibility'!$M$65:$M$86,$C$65:$C$86,'Detailed Feasibility'!$B$144,'Detailed Feasibility'!$E$65:$E$86,'Detailed Feasibility'!N117)+SUMIFS($N$65:$N$86,$C$65:$C$86,$B$144,$F$65:$F$86,N117)+SUMIFS($O$65:$O$86,$C$65:$C$86,$B$144,$G$65:$G$86,N117))</f>
        <v>0</v>
      </c>
      <c r="O144" s="259">
        <f>IF(O117="","",SUMIFS('Detailed Feasibility'!$M$65:$M$86,$C$65:$C$86,'Detailed Feasibility'!$B$144,'Detailed Feasibility'!$E$65:$E$86,'Detailed Feasibility'!O117)+SUMIFS($N$65:$N$86,$C$65:$C$86,$B$144,$F$65:$F$86,O117)+SUMIFS($O$65:$O$86,$C$65:$C$86,$B$144,$G$65:$G$86,O117))</f>
        <v>0</v>
      </c>
      <c r="P144" s="259">
        <f>IF(P117="","",SUMIFS('Detailed Feasibility'!$M$65:$M$86,$C$65:$C$86,'Detailed Feasibility'!$B$144,'Detailed Feasibility'!$E$65:$E$86,'Detailed Feasibility'!P117)+SUMIFS($N$65:$N$86,$C$65:$C$86,$B$144,$F$65:$F$86,P117)+SUMIFS($O$65:$O$86,$C$65:$C$86,$B$144,$G$65:$G$86,P117))</f>
        <v>0</v>
      </c>
      <c r="Q144" s="259">
        <f>IF(Q117="","",SUMIFS('Detailed Feasibility'!$M$65:$M$86,$C$65:$C$86,'Detailed Feasibility'!$B$144,'Detailed Feasibility'!$E$65:$E$86,'Detailed Feasibility'!Q117)+SUMIFS($N$65:$N$86,$C$65:$C$86,$B$144,$F$65:$F$86,Q117)+SUMIFS($O$65:$O$86,$C$65:$C$86,$B$144,$G$65:$G$86,Q117))</f>
        <v>0</v>
      </c>
      <c r="R144" s="259">
        <f>IF(R117="","",SUMIFS('Detailed Feasibility'!$M$65:$M$86,$C$65:$C$86,'Detailed Feasibility'!$B$144,'Detailed Feasibility'!$E$65:$E$86,'Detailed Feasibility'!R117)+SUMIFS($N$65:$N$86,$C$65:$C$86,$B$144,$F$65:$F$86,R117)+SUMIFS($O$65:$O$86,$C$65:$C$86,$B$144,$G$65:$G$86,R117))</f>
        <v>0</v>
      </c>
      <c r="S144" s="259">
        <f>IF(S117="","",SUMIFS('Detailed Feasibility'!$M$65:$M$86,$C$65:$C$86,'Detailed Feasibility'!$B$144,'Detailed Feasibility'!$E$65:$E$86,'Detailed Feasibility'!S117)+SUMIFS($N$65:$N$86,$C$65:$C$86,$B$144,$F$65:$F$86,S117)+SUMIFS($O$65:$O$86,$C$65:$C$86,$B$144,$G$65:$G$86,S117))</f>
        <v>0</v>
      </c>
      <c r="T144" s="259">
        <f>IF(T117="","",SUMIFS('Detailed Feasibility'!$M$65:$M$86,$C$65:$C$86,'Detailed Feasibility'!$B$144,'Detailed Feasibility'!$E$65:$E$86,'Detailed Feasibility'!T117)+SUMIFS($N$65:$N$86,$C$65:$C$86,$B$144,$F$65:$F$86,T117)+SUMIFS($O$65:$O$86,$C$65:$C$86,$B$144,$G$65:$G$86,T117))</f>
        <v>0</v>
      </c>
      <c r="U144" s="259">
        <f>IF(U117="","",SUMIFS('Detailed Feasibility'!$M$65:$M$86,$C$65:$C$86,'Detailed Feasibility'!$B$144,'Detailed Feasibility'!$E$65:$E$86,'Detailed Feasibility'!U117)+SUMIFS($N$65:$N$86,$C$65:$C$86,$B$144,$F$65:$F$86,U117)+SUMIFS($O$65:$O$86,$C$65:$C$86,$B$144,$G$65:$G$86,U117))</f>
        <v>0</v>
      </c>
      <c r="V144" s="259">
        <f>IF(V117="","",SUMIFS('Detailed Feasibility'!$M$65:$M$86,$C$65:$C$86,'Detailed Feasibility'!$B$144,'Detailed Feasibility'!$E$65:$E$86,'Detailed Feasibility'!V117)+SUMIFS($N$65:$N$86,$C$65:$C$86,$B$144,$F$65:$F$86,V117)+SUMIFS($O$65:$O$86,$C$65:$C$86,$B$144,$G$65:$G$86,V117))</f>
        <v>0</v>
      </c>
      <c r="W144" s="259">
        <f>IF(W117="","",SUMIFS('Detailed Feasibility'!$M$65:$M$86,$C$65:$C$86,'Detailed Feasibility'!$B$144,'Detailed Feasibility'!$E$65:$E$86,'Detailed Feasibility'!W117)+SUMIFS($N$65:$N$86,$C$65:$C$86,$B$144,$F$65:$F$86,W117)+SUMIFS($O$65:$O$86,$C$65:$C$86,$B$144,$G$65:$G$86,W117))</f>
        <v>0</v>
      </c>
      <c r="X144" s="259">
        <f>IF(X117="","",SUMIFS('Detailed Feasibility'!$M$65:$M$86,$C$65:$C$86,'Detailed Feasibility'!$B$144,'Detailed Feasibility'!$E$65:$E$86,'Detailed Feasibility'!X117)+SUMIFS($N$65:$N$86,$C$65:$C$86,$B$144,$F$65:$F$86,X117)+SUMIFS($O$65:$O$86,$C$65:$C$86,$B$144,$G$65:$G$86,X117))</f>
        <v>0</v>
      </c>
      <c r="Y144" s="259">
        <f>IF(Y117="","",SUMIFS('Detailed Feasibility'!$M$65:$M$86,$C$65:$C$86,'Detailed Feasibility'!$B$144,'Detailed Feasibility'!$E$65:$E$86,'Detailed Feasibility'!Y117)+SUMIFS($N$65:$N$86,$C$65:$C$86,$B$144,$F$65:$F$86,Y117)+SUMIFS($O$65:$O$86,$C$65:$C$86,$B$144,$G$65:$G$86,Y117))</f>
        <v>0</v>
      </c>
      <c r="Z144" s="259">
        <f>IF(Z117="","",SUMIFS('Detailed Feasibility'!$M$65:$M$86,$C$65:$C$86,'Detailed Feasibility'!$B$144,'Detailed Feasibility'!$E$65:$E$86,'Detailed Feasibility'!Z117)+SUMIFS($N$65:$N$86,$C$65:$C$86,$B$144,$F$65:$F$86,Z117)+SUMIFS($O$65:$O$86,$C$65:$C$86,$B$144,$G$65:$G$86,Z117))</f>
        <v>216666.66666666666</v>
      </c>
      <c r="AA144" s="259">
        <f>IF(AA117="","",SUMIFS('Detailed Feasibility'!$M$65:$M$86,$C$65:$C$86,'Detailed Feasibility'!$B$144,'Detailed Feasibility'!$E$65:$E$86,'Detailed Feasibility'!AA117)+SUMIFS($N$65:$N$86,$C$65:$C$86,$B$144,$F$65:$F$86,AA117)+SUMIFS($O$65:$O$86,$C$65:$C$86,$B$144,$G$65:$G$86,AA117))</f>
        <v>0</v>
      </c>
      <c r="AB144" s="259">
        <f>IF(AB117="","",SUMIFS('Detailed Feasibility'!$M$65:$M$86,$C$65:$C$86,'Detailed Feasibility'!$B$144,'Detailed Feasibility'!$E$65:$E$86,'Detailed Feasibility'!AB117)+SUMIFS($N$65:$N$86,$C$65:$C$86,$B$144,$F$65:$F$86,AB117)+SUMIFS($O$65:$O$86,$C$65:$C$86,$B$144,$G$65:$G$86,AB117))</f>
        <v>0</v>
      </c>
      <c r="AC144" s="259">
        <f>IF(AC117="","",SUMIFS('Detailed Feasibility'!$M$65:$M$86,$C$65:$C$86,'Detailed Feasibility'!$B$144,'Detailed Feasibility'!$E$65:$E$86,'Detailed Feasibility'!AC117)+SUMIFS($N$65:$N$86,$C$65:$C$86,$B$144,$F$65:$F$86,AC117)+SUMIFS($O$65:$O$86,$C$65:$C$86,$B$144,$G$65:$G$86,AC117))</f>
        <v>216666.66666666666</v>
      </c>
      <c r="AD144" s="259">
        <f>IF(AD117="","",SUMIFS('Detailed Feasibility'!$M$65:$M$86,$C$65:$C$86,'Detailed Feasibility'!$B$144,'Detailed Feasibility'!$E$65:$E$86,'Detailed Feasibility'!AD117)+SUMIFS($N$65:$N$86,$C$65:$C$86,$B$144,$F$65:$F$86,AD117)+SUMIFS($O$65:$O$86,$C$65:$C$86,$B$144,$G$65:$G$86,AD117))</f>
        <v>216666.66666666666</v>
      </c>
      <c r="AE144" s="259">
        <f>IF(AE117="","",SUMIFS('Detailed Feasibility'!$M$65:$M$86,$C$65:$C$86,'Detailed Feasibility'!$B$144,'Detailed Feasibility'!$E$65:$E$86,'Detailed Feasibility'!AE117)+SUMIFS($N$65:$N$86,$C$65:$C$86,$B$144,$F$65:$F$86,AE117)+SUMIFS($O$65:$O$86,$C$65:$C$86,$B$144,$G$65:$G$86,AE117))</f>
        <v>0</v>
      </c>
      <c r="AF144" s="259" t="str">
        <f>IF(AF117="","",SUMIFS('Detailed Feasibility'!$M$65:$M$86,$C$65:$C$86,'Detailed Feasibility'!$B$144,'Detailed Feasibility'!$E$65:$E$86,'Detailed Feasibility'!AF117)+SUMIFS($N$65:$N$86,$C$65:$C$86,$B$144,$F$65:$F$86,AF117)+SUMIFS($O$65:$O$86,$C$65:$C$86,$B$144,$G$65:$G$86,AF117))</f>
        <v/>
      </c>
      <c r="AG144" s="259" t="str">
        <f>IF(AG117="","",SUMIFS('Detailed Feasibility'!$M$65:$M$86,$C$65:$C$86,'Detailed Feasibility'!$B$144,'Detailed Feasibility'!$E$65:$E$86,'Detailed Feasibility'!AG117)+SUMIFS($N$65:$N$86,$C$65:$C$86,$B$144,$F$65:$F$86,AG117)+SUMIFS($O$65:$O$86,$C$65:$C$86,$B$144,$G$65:$G$86,AG117))</f>
        <v/>
      </c>
      <c r="AH144" s="259" t="str">
        <f>IF(AH117="","",SUMIFS('Detailed Feasibility'!$M$65:$M$86,$C$65:$C$86,'Detailed Feasibility'!$B$144,'Detailed Feasibility'!$E$65:$E$86,'Detailed Feasibility'!AH117)+SUMIFS($N$65:$N$86,$C$65:$C$86,$B$144,$F$65:$F$86,AH117)+SUMIFS($O$65:$O$86,$C$65:$C$86,$B$144,$G$65:$G$86,AH117))</f>
        <v/>
      </c>
      <c r="AI144" s="259" t="str">
        <f>IF(AI117="","",SUMIFS('Detailed Feasibility'!$M$65:$M$86,$C$65:$C$86,'Detailed Feasibility'!$B$144,'Detailed Feasibility'!$E$65:$E$86,'Detailed Feasibility'!AI117)+SUMIFS($N$65:$N$86,$C$65:$C$86,$B$144,$F$65:$F$86,AI117)+SUMIFS($O$65:$O$86,$C$65:$C$86,$B$144,$G$65:$G$86,AI117))</f>
        <v/>
      </c>
      <c r="AJ144" s="259" t="str">
        <f>IF(AJ117="","",SUMIFS('Detailed Feasibility'!$M$65:$M$86,$C$65:$C$86,'Detailed Feasibility'!$B$144,'Detailed Feasibility'!$E$65:$E$86,'Detailed Feasibility'!AJ117)+SUMIFS($N$65:$N$86,$C$65:$C$86,$B$144,$F$65:$F$86,AJ117)+SUMIFS($O$65:$O$86,$C$65:$C$86,$B$144,$G$65:$G$86,AJ117))</f>
        <v/>
      </c>
      <c r="AK144" s="259" t="str">
        <f>IF(AK117="","",SUMIFS('Detailed Feasibility'!$M$65:$M$86,$C$65:$C$86,'Detailed Feasibility'!$B$144,'Detailed Feasibility'!$E$65:$E$86,'Detailed Feasibility'!AK117)+SUMIFS($N$65:$N$86,$C$65:$C$86,$B$144,$F$65:$F$86,AK117)+SUMIFS($O$65:$O$86,$C$65:$C$86,$B$144,$G$65:$G$86,AK117))</f>
        <v/>
      </c>
      <c r="AL144" s="259" t="str">
        <f>IF(AL117="","",SUMIFS('Detailed Feasibility'!$M$65:$M$86,$C$65:$C$86,'Detailed Feasibility'!$B$144,'Detailed Feasibility'!$E$65:$E$86,'Detailed Feasibility'!AL117)+SUMIFS($N$65:$N$86,$C$65:$C$86,$B$144,$F$65:$F$86,AL117)+SUMIFS($O$65:$O$86,$C$65:$C$86,$B$144,$G$65:$G$86,AL117))</f>
        <v/>
      </c>
      <c r="AM144" s="259" t="str">
        <f>IF(AM117="","",SUMIFS('Detailed Feasibility'!$M$65:$M$86,$C$65:$C$86,'Detailed Feasibility'!$B$144,'Detailed Feasibility'!$E$65:$E$86,'Detailed Feasibility'!AM117)+SUMIFS($N$65:$N$86,$C$65:$C$86,$B$144,$F$65:$F$86,AM117)+SUMIFS($O$65:$O$86,$C$65:$C$86,$B$144,$G$65:$G$86,AM117))</f>
        <v/>
      </c>
      <c r="AN144" s="259" t="str">
        <f>IF(AN117="","",SUMIFS('Detailed Feasibility'!$M$65:$M$86,$C$65:$C$86,'Detailed Feasibility'!$B$144,'Detailed Feasibility'!$E$65:$E$86,'Detailed Feasibility'!AN117)+SUMIFS($N$65:$N$86,$C$65:$C$86,$B$144,$F$65:$F$86,AN117)+SUMIFS($O$65:$O$86,$C$65:$C$86,$B$144,$G$65:$G$86,AN117))</f>
        <v/>
      </c>
      <c r="AO144" s="259" t="str">
        <f>IF(AO117="","",SUMIFS('Detailed Feasibility'!$M$65:$M$86,$C$65:$C$86,'Detailed Feasibility'!$B$144,'Detailed Feasibility'!$E$65:$E$86,'Detailed Feasibility'!AO117)+SUMIFS($N$65:$N$86,$C$65:$C$86,$B$144,$F$65:$F$86,AO117)+SUMIFS($O$65:$O$86,$C$65:$C$86,$B$144,$G$65:$G$86,AO117))</f>
        <v/>
      </c>
      <c r="AP144" s="259" t="str">
        <f>IF(AP117="","",SUMIFS('Detailed Feasibility'!$M$65:$M$86,$C$65:$C$86,'Detailed Feasibility'!$B$144,'Detailed Feasibility'!$E$65:$E$86,'Detailed Feasibility'!AP117)+SUMIFS($N$65:$N$86,$C$65:$C$86,$B$144,$F$65:$F$86,AP117)+SUMIFS($O$65:$O$86,$C$65:$C$86,$B$144,$G$65:$G$86,AP117))</f>
        <v/>
      </c>
      <c r="AQ144" s="259" t="str">
        <f>IF(AQ117="","",SUMIFS('Detailed Feasibility'!$M$65:$M$86,$C$65:$C$86,'Detailed Feasibility'!$B$144,'Detailed Feasibility'!$E$65:$E$86,'Detailed Feasibility'!AQ117)+SUMIFS($N$65:$N$86,$C$65:$C$86,$B$144,$F$65:$F$86,AQ117)+SUMIFS($O$65:$O$86,$C$65:$C$86,$B$144,$G$65:$G$86,AQ117))</f>
        <v/>
      </c>
      <c r="AR144" s="259" t="str">
        <f>IF(AR117="","",SUMIFS('Detailed Feasibility'!$M$65:$M$86,$C$65:$C$86,'Detailed Feasibility'!$B$144,'Detailed Feasibility'!$E$65:$E$86,'Detailed Feasibility'!AR117)+SUMIFS($N$65:$N$86,$C$65:$C$86,$B$144,$F$65:$F$86,AR117)+SUMIFS($O$65:$O$86,$C$65:$C$86,$B$144,$G$65:$G$86,AR117))</f>
        <v/>
      </c>
      <c r="AS144" s="259" t="str">
        <f>IF(AS117="","",SUMIFS('Detailed Feasibility'!$M$65:$M$86,$C$65:$C$86,'Detailed Feasibility'!$B$144,'Detailed Feasibility'!$E$65:$E$86,'Detailed Feasibility'!AS117)+SUMIFS($N$65:$N$86,$C$65:$C$86,$B$144,$F$65:$F$86,AS117)+SUMIFS($O$65:$O$86,$C$65:$C$86,$B$144,$G$65:$G$86,AS117))</f>
        <v/>
      </c>
      <c r="AT144" s="259" t="str">
        <f>IF(AT117="","",SUMIFS('Detailed Feasibility'!$M$65:$M$86,$C$65:$C$86,'Detailed Feasibility'!$B$144,'Detailed Feasibility'!$E$65:$E$86,'Detailed Feasibility'!AT117)+SUMIFS($N$65:$N$86,$C$65:$C$86,$B$144,$F$65:$F$86,AT117)+SUMIFS($O$65:$O$86,$C$65:$C$86,$B$144,$G$65:$G$86,AT117))</f>
        <v/>
      </c>
      <c r="AU144" s="259" t="str">
        <f>IF(AU117="","",SUMIFS('Detailed Feasibility'!$M$65:$M$86,$C$65:$C$86,'Detailed Feasibility'!$B$144,'Detailed Feasibility'!$E$65:$E$86,'Detailed Feasibility'!AU117)+SUMIFS($N$65:$N$86,$C$65:$C$86,$B$144,$F$65:$F$86,AU117)+SUMIFS($O$65:$O$86,$C$65:$C$86,$B$144,$G$65:$G$86,AU117))</f>
        <v/>
      </c>
      <c r="AV144" s="259" t="str">
        <f>IF(AV117="","",SUMIFS('Detailed Feasibility'!$M$65:$M$86,$C$65:$C$86,'Detailed Feasibility'!$B$144,'Detailed Feasibility'!$E$65:$E$86,'Detailed Feasibility'!AV117)+SUMIFS($N$65:$N$86,$C$65:$C$86,$B$144,$F$65:$F$86,AV117)+SUMIFS($O$65:$O$86,$C$65:$C$86,$B$144,$G$65:$G$86,AV117))</f>
        <v/>
      </c>
      <c r="AW144" s="259" t="str">
        <f>IF(AW117="","",SUMIFS('Detailed Feasibility'!$M$65:$M$86,$C$65:$C$86,'Detailed Feasibility'!$B$144,'Detailed Feasibility'!$E$65:$E$86,'Detailed Feasibility'!AW117)+SUMIFS($N$65:$N$86,$C$65:$C$86,$B$144,$F$65:$F$86,AW117)+SUMIFS($O$65:$O$86,$C$65:$C$86,$B$144,$G$65:$G$86,AW117))</f>
        <v/>
      </c>
      <c r="AX144" s="259" t="str">
        <f>IF(AX117="","",SUMIFS('Detailed Feasibility'!$M$65:$M$86,$C$65:$C$86,'Detailed Feasibility'!$B$144,'Detailed Feasibility'!$E$65:$E$86,'Detailed Feasibility'!AX117)+SUMIFS($N$65:$N$86,$C$65:$C$86,$B$144,$F$65:$F$86,AX117)+SUMIFS($O$65:$O$86,$C$65:$C$86,$B$144,$G$65:$G$86,AX117))</f>
        <v/>
      </c>
      <c r="AY144" s="259" t="str">
        <f>IF(AY117="","",SUMIFS('Detailed Feasibility'!$M$65:$M$86,$C$65:$C$86,'Detailed Feasibility'!$B$144,'Detailed Feasibility'!$E$65:$E$86,'Detailed Feasibility'!AY117)+SUMIFS($N$65:$N$86,$C$65:$C$86,$B$144,$F$65:$F$86,AY117)+SUMIFS($O$65:$O$86,$C$65:$C$86,$B$144,$G$65:$G$86,AY117))</f>
        <v/>
      </c>
      <c r="AZ144" s="259" t="str">
        <f>IF(AZ117="","",SUMIFS('Detailed Feasibility'!$M$65:$M$86,$C$65:$C$86,'Detailed Feasibility'!$B$144,'Detailed Feasibility'!$E$65:$E$86,'Detailed Feasibility'!AZ117)+SUMIFS($N$65:$N$86,$C$65:$C$86,$B$144,$F$65:$F$86,AZ117)+SUMIFS($O$65:$O$86,$C$65:$C$86,$B$144,$G$65:$G$86,AZ117))</f>
        <v/>
      </c>
      <c r="BA144" s="259" t="str">
        <f>IF(BA117="","",SUMIFS('Detailed Feasibility'!$M$65:$M$86,$C$65:$C$86,'Detailed Feasibility'!$B$144,'Detailed Feasibility'!$E$65:$E$86,'Detailed Feasibility'!BA117)+SUMIFS($N$65:$N$86,$C$65:$C$86,$B$144,$F$65:$F$86,BA117)+SUMIFS($O$65:$O$86,$C$65:$C$86,$B$144,$G$65:$G$86,BA117))</f>
        <v/>
      </c>
      <c r="BB144" s="259" t="str">
        <f>IF(BB117="","",SUMIFS('Detailed Feasibility'!$M$65:$M$86,$C$65:$C$86,'Detailed Feasibility'!$B$144,'Detailed Feasibility'!$E$65:$E$86,'Detailed Feasibility'!BB117)+SUMIFS($N$65:$N$86,$C$65:$C$86,$B$144,$F$65:$F$86,BB117)+SUMIFS($O$65:$O$86,$C$65:$C$86,$B$144,$G$65:$G$86,BB117))</f>
        <v/>
      </c>
      <c r="BC144" s="259" t="str">
        <f>IF(BC117="","",SUMIFS('Detailed Feasibility'!$M$65:$M$86,$C$65:$C$86,'Detailed Feasibility'!$B$144,'Detailed Feasibility'!$E$65:$E$86,'Detailed Feasibility'!BC117)+SUMIFS($N$65:$N$86,$C$65:$C$86,$B$144,$F$65:$F$86,BC117)+SUMIFS($O$65:$O$86,$C$65:$C$86,$B$144,$G$65:$G$86,BC117))</f>
        <v/>
      </c>
      <c r="BD144" s="259" t="str">
        <f>IF(BD117="","",SUMIFS('Detailed Feasibility'!$M$65:$M$86,$C$65:$C$86,'Detailed Feasibility'!$B$144,'Detailed Feasibility'!$E$65:$E$86,'Detailed Feasibility'!BD117)+SUMIFS($N$65:$N$86,$C$65:$C$86,$B$144,$F$65:$F$86,BD117)+SUMIFS($O$65:$O$86,$C$65:$C$86,$B$144,$G$65:$G$86,BD117))</f>
        <v/>
      </c>
      <c r="BE144" s="259" t="str">
        <f>IF(BE117="","",SUMIFS('Detailed Feasibility'!$M$65:$M$86,$C$65:$C$86,'Detailed Feasibility'!$B$144,'Detailed Feasibility'!$E$65:$E$86,'Detailed Feasibility'!BE117)+SUMIFS($N$65:$N$86,$C$65:$C$86,$B$144,$F$65:$F$86,BE117)+SUMIFS($O$65:$O$86,$C$65:$C$86,$B$144,$G$65:$G$86,BE117))</f>
        <v/>
      </c>
      <c r="BF144" s="259" t="str">
        <f>IF(BF117="","",SUMIFS('Detailed Feasibility'!$M$65:$M$86,$C$65:$C$86,'Detailed Feasibility'!$B$144,'Detailed Feasibility'!$E$65:$E$86,'Detailed Feasibility'!BF117)+SUMIFS($N$65:$N$86,$C$65:$C$86,$B$144,$F$65:$F$86,BF117)+SUMIFS($O$65:$O$86,$C$65:$C$86,$B$144,$G$65:$G$86,BF117))</f>
        <v/>
      </c>
      <c r="BG144" s="259" t="str">
        <f>IF(BG117="","",SUMIFS('Detailed Feasibility'!$M$65:$M$86,$C$65:$C$86,'Detailed Feasibility'!$B$144,'Detailed Feasibility'!$E$65:$E$86,'Detailed Feasibility'!BG117)+SUMIFS($N$65:$N$86,$C$65:$C$86,$B$144,$F$65:$F$86,BG117)+SUMIFS($O$65:$O$86,$C$65:$C$86,$B$144,$G$65:$G$86,BG117))</f>
        <v/>
      </c>
      <c r="BH144" s="259" t="str">
        <f>IF(BH117="","",SUMIFS('Detailed Feasibility'!$M$65:$M$86,$C$65:$C$86,'Detailed Feasibility'!$B$144,'Detailed Feasibility'!$E$65:$E$86,'Detailed Feasibility'!BH117)+SUMIFS($N$65:$N$86,$C$65:$C$86,$B$144,$F$65:$F$86,BH117)+SUMIFS($O$65:$O$86,$C$65:$C$86,$B$144,$G$65:$G$86,BH117))</f>
        <v/>
      </c>
      <c r="BI144" s="259" t="str">
        <f>IF(BI117="","",SUMIFS('Detailed Feasibility'!$M$65:$M$86,$C$65:$C$86,'Detailed Feasibility'!$B$144,'Detailed Feasibility'!$E$65:$E$86,'Detailed Feasibility'!BI117)+SUMIFS($N$65:$N$86,$C$65:$C$86,$B$144,$F$65:$F$86,BI117)+SUMIFS($O$65:$O$86,$C$65:$C$86,$B$144,$G$65:$G$86,BI117))</f>
        <v/>
      </c>
      <c r="BJ144" s="259" t="str">
        <f>IF(BJ117="","",SUMIFS('Detailed Feasibility'!$M$65:$M$86,$C$65:$C$86,'Detailed Feasibility'!$B$144,'Detailed Feasibility'!$E$65:$E$86,'Detailed Feasibility'!BJ117)+SUMIFS($N$65:$N$86,$C$65:$C$86,$B$144,$F$65:$F$86,BJ117)+SUMIFS($O$65:$O$86,$C$65:$C$86,$B$144,$G$65:$G$86,BJ117))</f>
        <v/>
      </c>
      <c r="BK144" s="259" t="str">
        <f>IF(BK117="","",SUMIFS('Detailed Feasibility'!$M$65:$M$86,$C$65:$C$86,'Detailed Feasibility'!$B$144,'Detailed Feasibility'!$E$65:$E$86,'Detailed Feasibility'!BK117)+SUMIFS($N$65:$N$86,$C$65:$C$86,$B$144,$F$65:$F$86,BK117)+SUMIFS($O$65:$O$86,$C$65:$C$86,$B$144,$G$65:$G$86,BK117))</f>
        <v/>
      </c>
      <c r="BL144" s="259" t="str">
        <f>IF(BL117="","",SUMIFS('Detailed Feasibility'!$M$65:$M$86,$C$65:$C$86,'Detailed Feasibility'!$B$144,'Detailed Feasibility'!$E$65:$E$86,'Detailed Feasibility'!BL117)+SUMIFS($N$65:$N$86,$C$65:$C$86,$B$144,$F$65:$F$86,BL117)+SUMIFS($O$65:$O$86,$C$65:$C$86,$B$144,$G$65:$G$86,BL117))</f>
        <v/>
      </c>
      <c r="BM144" s="260" t="str">
        <f>IF(BM117="","",SUMIFS('Detailed Feasibility'!$M$65:$M$86,$C$65:$C$86,'Detailed Feasibility'!$B$144,'Detailed Feasibility'!$E$65:$E$86,'Detailed Feasibility'!BM117)+SUMIFS($N$65:$N$86,$C$65:$C$86,$B$144,$F$65:$F$86,BM117)+SUMIFS($O$65:$O$86,$C$65:$C$86,$B$144,$G$65:$G$86,BM117))</f>
        <v/>
      </c>
    </row>
    <row r="145" spans="2:65" s="198" customFormat="1" x14ac:dyDescent="0.25">
      <c r="B145" s="353" t="str">
        <f t="shared" si="29"/>
        <v>6 Bed</v>
      </c>
      <c r="C145" s="736"/>
      <c r="D145" s="212">
        <f>'Detailed Feasibility Inputs'!F45</f>
        <v>800000</v>
      </c>
      <c r="E145" s="736">
        <f t="shared" si="30"/>
        <v>1</v>
      </c>
      <c r="F145" s="259">
        <f>SUMIFS('Detailed Feasibility'!$M$65:$M$86,$C$65:$C$86,'Detailed Feasibility'!$B$145,'Detailed Feasibility'!$E$65:$E$86,'Detailed Feasibility'!F117)+SUMIFS($N$65:$N$86,$C$65:$C$86,$B$145,$F$65:$F$86,F117)+SUMIFS($O$65:$O$86,$C$65:$C$86,$B$145,$G$65:$G$86,F117)</f>
        <v>0</v>
      </c>
      <c r="G145" s="259">
        <f>IF(G117="","",SUMIFS('Detailed Feasibility'!$M$65:$M$86,$C$65:$C$86,'Detailed Feasibility'!$B$145,'Detailed Feasibility'!$E$65:$E$86,'Detailed Feasibility'!G117)+SUMIFS($N$65:$N$86,$C$65:$C$86,$B$145,$F$65:$F$86,G117)+SUMIFS($O$65:$O$86,$C$65:$C$86,$B$145,$G$65:$G$86,G117))</f>
        <v>0</v>
      </c>
      <c r="H145" s="259">
        <f>IF(H117="","",SUMIFS('Detailed Feasibility'!$M$65:$M$86,$C$65:$C$86,'Detailed Feasibility'!$B$145,'Detailed Feasibility'!$E$65:$E$86,'Detailed Feasibility'!H117)+SUMIFS($N$65:$N$86,$C$65:$C$86,$B$145,$F$65:$F$86,H117)+SUMIFS($O$65:$O$86,$C$65:$C$86,$B$145,$G$65:$G$86,H117))</f>
        <v>0</v>
      </c>
      <c r="I145" s="259">
        <f>IF(I117="","",SUMIFS('Detailed Feasibility'!$M$65:$M$86,$C$65:$C$86,'Detailed Feasibility'!$B$145,'Detailed Feasibility'!$E$65:$E$86,'Detailed Feasibility'!I117)+SUMIFS($N$65:$N$86,$C$65:$C$86,$B$145,$F$65:$F$86,I117)+SUMIFS($O$65:$O$86,$C$65:$C$86,$B$145,$G$65:$G$86,I117))</f>
        <v>0</v>
      </c>
      <c r="J145" s="259">
        <f>IF(J117="","",SUMIFS('Detailed Feasibility'!$M$65:$M$86,$C$65:$C$86,'Detailed Feasibility'!$B$145,'Detailed Feasibility'!$E$65:$E$86,'Detailed Feasibility'!J117)+SUMIFS($N$65:$N$86,$C$65:$C$86,$B$145,$F$65:$F$86,J117)+SUMIFS($O$65:$O$86,$C$65:$C$86,$B$145,$G$65:$G$86,J117))</f>
        <v>0</v>
      </c>
      <c r="K145" s="259">
        <f>IF(K117="","",SUMIFS('Detailed Feasibility'!$M$65:$M$86,$C$65:$C$86,'Detailed Feasibility'!$B$145,'Detailed Feasibility'!$E$65:$E$86,'Detailed Feasibility'!K117)+SUMIFS($N$65:$N$86,$C$65:$C$86,$B$145,$F$65:$F$86,K117)+SUMIFS($O$65:$O$86,$C$65:$C$86,$B$145,$G$65:$G$86,K117))</f>
        <v>0</v>
      </c>
      <c r="L145" s="259">
        <f>IF(L117="","",SUMIFS('Detailed Feasibility'!$M$65:$M$86,$C$65:$C$86,'Detailed Feasibility'!$B$145,'Detailed Feasibility'!$E$65:$E$86,'Detailed Feasibility'!L117)+SUMIFS($N$65:$N$86,$C$65:$C$86,$B$145,$F$65:$F$86,L117)+SUMIFS($O$65:$O$86,$C$65:$C$86,$B$145,$G$65:$G$86,L117))</f>
        <v>0</v>
      </c>
      <c r="M145" s="259">
        <f>IF(M117="","",SUMIFS('Detailed Feasibility'!$M$65:$M$86,$C$65:$C$86,'Detailed Feasibility'!$B$145,'Detailed Feasibility'!$E$65:$E$86,'Detailed Feasibility'!M117)+SUMIFS($N$65:$N$86,$C$65:$C$86,$B$145,$F$65:$F$86,M117)+SUMIFS($O$65:$O$86,$C$65:$C$86,$B$145,$G$65:$G$86,M117))</f>
        <v>0</v>
      </c>
      <c r="N145" s="259">
        <f>IF(N117="","",SUMIFS('Detailed Feasibility'!$M$65:$M$86,$C$65:$C$86,'Detailed Feasibility'!$B$145,'Detailed Feasibility'!$E$65:$E$86,'Detailed Feasibility'!N117)+SUMIFS($N$65:$N$86,$C$65:$C$86,$B$145,$F$65:$F$86,N117)+SUMIFS($O$65:$O$86,$C$65:$C$86,$B$145,$G$65:$G$86,N117))</f>
        <v>0</v>
      </c>
      <c r="O145" s="259">
        <f>IF(O117="","",SUMIFS('Detailed Feasibility'!$M$65:$M$86,$C$65:$C$86,'Detailed Feasibility'!$B$145,'Detailed Feasibility'!$E$65:$E$86,'Detailed Feasibility'!O117)+SUMIFS($N$65:$N$86,$C$65:$C$86,$B$145,$F$65:$F$86,O117)+SUMIFS($O$65:$O$86,$C$65:$C$86,$B$145,$G$65:$G$86,O117))</f>
        <v>0</v>
      </c>
      <c r="P145" s="259">
        <f>IF(P117="","",SUMIFS('Detailed Feasibility'!$M$65:$M$86,$C$65:$C$86,'Detailed Feasibility'!$B$145,'Detailed Feasibility'!$E$65:$E$86,'Detailed Feasibility'!P117)+SUMIFS($N$65:$N$86,$C$65:$C$86,$B$145,$F$65:$F$86,P117)+SUMIFS($O$65:$O$86,$C$65:$C$86,$B$145,$G$65:$G$86,P117))</f>
        <v>0</v>
      </c>
      <c r="Q145" s="259">
        <f>IF(Q117="","",SUMIFS('Detailed Feasibility'!$M$65:$M$86,$C$65:$C$86,'Detailed Feasibility'!$B$145,'Detailed Feasibility'!$E$65:$E$86,'Detailed Feasibility'!Q117)+SUMIFS($N$65:$N$86,$C$65:$C$86,$B$145,$F$65:$F$86,Q117)+SUMIFS($O$65:$O$86,$C$65:$C$86,$B$145,$G$65:$G$86,Q117))</f>
        <v>0</v>
      </c>
      <c r="R145" s="259">
        <f>IF(R117="","",SUMIFS('Detailed Feasibility'!$M$65:$M$86,$C$65:$C$86,'Detailed Feasibility'!$B$145,'Detailed Feasibility'!$E$65:$E$86,'Detailed Feasibility'!R117)+SUMIFS($N$65:$N$86,$C$65:$C$86,$B$145,$F$65:$F$86,R117)+SUMIFS($O$65:$O$86,$C$65:$C$86,$B$145,$G$65:$G$86,R117))</f>
        <v>0</v>
      </c>
      <c r="S145" s="259">
        <f>IF(S117="","",SUMIFS('Detailed Feasibility'!$M$65:$M$86,$C$65:$C$86,'Detailed Feasibility'!$B$145,'Detailed Feasibility'!$E$65:$E$86,'Detailed Feasibility'!S117)+SUMIFS($N$65:$N$86,$C$65:$C$86,$B$145,$F$65:$F$86,S117)+SUMIFS($O$65:$O$86,$C$65:$C$86,$B$145,$G$65:$G$86,S117))</f>
        <v>0</v>
      </c>
      <c r="T145" s="259">
        <f>IF(T117="","",SUMIFS('Detailed Feasibility'!$M$65:$M$86,$C$65:$C$86,'Detailed Feasibility'!$B$145,'Detailed Feasibility'!$E$65:$E$86,'Detailed Feasibility'!T117)+SUMIFS($N$65:$N$86,$C$65:$C$86,$B$145,$F$65:$F$86,T117)+SUMIFS($O$65:$O$86,$C$65:$C$86,$B$145,$G$65:$G$86,T117))</f>
        <v>0</v>
      </c>
      <c r="U145" s="259">
        <f>IF(U117="","",SUMIFS('Detailed Feasibility'!$M$65:$M$86,$C$65:$C$86,'Detailed Feasibility'!$B$145,'Detailed Feasibility'!$E$65:$E$86,'Detailed Feasibility'!U117)+SUMIFS($N$65:$N$86,$C$65:$C$86,$B$145,$F$65:$F$86,U117)+SUMIFS($O$65:$O$86,$C$65:$C$86,$B$145,$G$65:$G$86,U117))</f>
        <v>0</v>
      </c>
      <c r="V145" s="259">
        <f>IF(V117="","",SUMIFS('Detailed Feasibility'!$M$65:$M$86,$C$65:$C$86,'Detailed Feasibility'!$B$145,'Detailed Feasibility'!$E$65:$E$86,'Detailed Feasibility'!V117)+SUMIFS($N$65:$N$86,$C$65:$C$86,$B$145,$F$65:$F$86,V117)+SUMIFS($O$65:$O$86,$C$65:$C$86,$B$145,$G$65:$G$86,V117))</f>
        <v>0</v>
      </c>
      <c r="W145" s="259">
        <f>IF(W117="","",SUMIFS('Detailed Feasibility'!$M$65:$M$86,$C$65:$C$86,'Detailed Feasibility'!$B$145,'Detailed Feasibility'!$E$65:$E$86,'Detailed Feasibility'!W117)+SUMIFS($N$65:$N$86,$C$65:$C$86,$B$145,$F$65:$F$86,W117)+SUMIFS($O$65:$O$86,$C$65:$C$86,$B$145,$G$65:$G$86,W117))</f>
        <v>0</v>
      </c>
      <c r="X145" s="259">
        <f>IF(X117="","",SUMIFS('Detailed Feasibility'!$M$65:$M$86,$C$65:$C$86,'Detailed Feasibility'!$B$145,'Detailed Feasibility'!$E$65:$E$86,'Detailed Feasibility'!X117)+SUMIFS($N$65:$N$86,$C$65:$C$86,$B$145,$F$65:$F$86,X117)+SUMIFS($O$65:$O$86,$C$65:$C$86,$B$145,$G$65:$G$86,X117))</f>
        <v>0</v>
      </c>
      <c r="Y145" s="259">
        <f>IF(Y117="","",SUMIFS('Detailed Feasibility'!$M$65:$M$86,$C$65:$C$86,'Detailed Feasibility'!$B$145,'Detailed Feasibility'!$E$65:$E$86,'Detailed Feasibility'!Y117)+SUMIFS($N$65:$N$86,$C$65:$C$86,$B$145,$F$65:$F$86,Y117)+SUMIFS($O$65:$O$86,$C$65:$C$86,$B$145,$G$65:$G$86,Y117))</f>
        <v>0</v>
      </c>
      <c r="Z145" s="259">
        <f>IF(Z117="","",SUMIFS('Detailed Feasibility'!$M$65:$M$86,$C$65:$C$86,'Detailed Feasibility'!$B$145,'Detailed Feasibility'!$E$65:$E$86,'Detailed Feasibility'!Z117)+SUMIFS($N$65:$N$86,$C$65:$C$86,$B$145,$F$65:$F$86,Z117)+SUMIFS($O$65:$O$86,$C$65:$C$86,$B$145,$G$65:$G$86,Z117))</f>
        <v>266666.66666666663</v>
      </c>
      <c r="AA145" s="259">
        <f>IF(AA117="","",SUMIFS('Detailed Feasibility'!$M$65:$M$86,$C$65:$C$86,'Detailed Feasibility'!$B$145,'Detailed Feasibility'!$E$65:$E$86,'Detailed Feasibility'!AA117)+SUMIFS($N$65:$N$86,$C$65:$C$86,$B$145,$F$65:$F$86,AA117)+SUMIFS($O$65:$O$86,$C$65:$C$86,$B$145,$G$65:$G$86,AA117))</f>
        <v>0</v>
      </c>
      <c r="AB145" s="259">
        <f>IF(AB117="","",SUMIFS('Detailed Feasibility'!$M$65:$M$86,$C$65:$C$86,'Detailed Feasibility'!$B$145,'Detailed Feasibility'!$E$65:$E$86,'Detailed Feasibility'!AB117)+SUMIFS($N$65:$N$86,$C$65:$C$86,$B$145,$F$65:$F$86,AB117)+SUMIFS($O$65:$O$86,$C$65:$C$86,$B$145,$G$65:$G$86,AB117))</f>
        <v>0</v>
      </c>
      <c r="AC145" s="259">
        <f>IF(AC117="","",SUMIFS('Detailed Feasibility'!$M$65:$M$86,$C$65:$C$86,'Detailed Feasibility'!$B$145,'Detailed Feasibility'!$E$65:$E$86,'Detailed Feasibility'!AC117)+SUMIFS($N$65:$N$86,$C$65:$C$86,$B$145,$F$65:$F$86,AC117)+SUMIFS($O$65:$O$86,$C$65:$C$86,$B$145,$G$65:$G$86,AC117))</f>
        <v>266666.66666666663</v>
      </c>
      <c r="AD145" s="259">
        <f>IF(AD117="","",SUMIFS('Detailed Feasibility'!$M$65:$M$86,$C$65:$C$86,'Detailed Feasibility'!$B$145,'Detailed Feasibility'!$E$65:$E$86,'Detailed Feasibility'!AD117)+SUMIFS($N$65:$N$86,$C$65:$C$86,$B$145,$F$65:$F$86,AD117)+SUMIFS($O$65:$O$86,$C$65:$C$86,$B$145,$G$65:$G$86,AD117))</f>
        <v>266666.66666666663</v>
      </c>
      <c r="AE145" s="259">
        <f>IF(AE117="","",SUMIFS('Detailed Feasibility'!$M$65:$M$86,$C$65:$C$86,'Detailed Feasibility'!$B$145,'Detailed Feasibility'!$E$65:$E$86,'Detailed Feasibility'!AE117)+SUMIFS($N$65:$N$86,$C$65:$C$86,$B$145,$F$65:$F$86,AE117)+SUMIFS($O$65:$O$86,$C$65:$C$86,$B$145,$G$65:$G$86,AE117))</f>
        <v>0</v>
      </c>
      <c r="AF145" s="259" t="str">
        <f>IF(AF117="","",SUMIFS('Detailed Feasibility'!$M$65:$M$86,$C$65:$C$86,'Detailed Feasibility'!$B$145,'Detailed Feasibility'!$E$65:$E$86,'Detailed Feasibility'!AF117)+SUMIFS($N$65:$N$86,$C$65:$C$86,$B$145,$F$65:$F$86,AF117)+SUMIFS($O$65:$O$86,$C$65:$C$86,$B$145,$G$65:$G$86,AF117))</f>
        <v/>
      </c>
      <c r="AG145" s="259" t="str">
        <f>IF(AG117="","",SUMIFS('Detailed Feasibility'!$M$65:$M$86,$C$65:$C$86,'Detailed Feasibility'!$B$145,'Detailed Feasibility'!$E$65:$E$86,'Detailed Feasibility'!AG117)+SUMIFS($N$65:$N$86,$C$65:$C$86,$B$145,$F$65:$F$86,AG117)+SUMIFS($O$65:$O$86,$C$65:$C$86,$B$145,$G$65:$G$86,AG117))</f>
        <v/>
      </c>
      <c r="AH145" s="259" t="str">
        <f>IF(AH117="","",SUMIFS('Detailed Feasibility'!$M$65:$M$86,$C$65:$C$86,'Detailed Feasibility'!$B$145,'Detailed Feasibility'!$E$65:$E$86,'Detailed Feasibility'!AH117)+SUMIFS($N$65:$N$86,$C$65:$C$86,$B$145,$F$65:$F$86,AH117)+SUMIFS($O$65:$O$86,$C$65:$C$86,$B$145,$G$65:$G$86,AH117))</f>
        <v/>
      </c>
      <c r="AI145" s="259" t="str">
        <f>IF(AI117="","",SUMIFS('Detailed Feasibility'!$M$65:$M$86,$C$65:$C$86,'Detailed Feasibility'!$B$145,'Detailed Feasibility'!$E$65:$E$86,'Detailed Feasibility'!AI117)+SUMIFS($N$65:$N$86,$C$65:$C$86,$B$145,$F$65:$F$86,AI117)+SUMIFS($O$65:$O$86,$C$65:$C$86,$B$145,$G$65:$G$86,AI117))</f>
        <v/>
      </c>
      <c r="AJ145" s="259" t="str">
        <f>IF(AJ117="","",SUMIFS('Detailed Feasibility'!$M$65:$M$86,$C$65:$C$86,'Detailed Feasibility'!$B$145,'Detailed Feasibility'!$E$65:$E$86,'Detailed Feasibility'!AJ117)+SUMIFS($N$65:$N$86,$C$65:$C$86,$B$145,$F$65:$F$86,AJ117)+SUMIFS($O$65:$O$86,$C$65:$C$86,$B$145,$G$65:$G$86,AJ117))</f>
        <v/>
      </c>
      <c r="AK145" s="259" t="str">
        <f>IF(AK117="","",SUMIFS('Detailed Feasibility'!$M$65:$M$86,$C$65:$C$86,'Detailed Feasibility'!$B$145,'Detailed Feasibility'!$E$65:$E$86,'Detailed Feasibility'!AK117)+SUMIFS($N$65:$N$86,$C$65:$C$86,$B$145,$F$65:$F$86,AK117)+SUMIFS($O$65:$O$86,$C$65:$C$86,$B$145,$G$65:$G$86,AK117))</f>
        <v/>
      </c>
      <c r="AL145" s="259" t="str">
        <f>IF(AL117="","",SUMIFS('Detailed Feasibility'!$M$65:$M$86,$C$65:$C$86,'Detailed Feasibility'!$B$145,'Detailed Feasibility'!$E$65:$E$86,'Detailed Feasibility'!AL117)+SUMIFS($N$65:$N$86,$C$65:$C$86,$B$145,$F$65:$F$86,AL117)+SUMIFS($O$65:$O$86,$C$65:$C$86,$B$145,$G$65:$G$86,AL117))</f>
        <v/>
      </c>
      <c r="AM145" s="259" t="str">
        <f>IF(AM117="","",SUMIFS('Detailed Feasibility'!$M$65:$M$86,$C$65:$C$86,'Detailed Feasibility'!$B$145,'Detailed Feasibility'!$E$65:$E$86,'Detailed Feasibility'!AM117)+SUMIFS($N$65:$N$86,$C$65:$C$86,$B$145,$F$65:$F$86,AM117)+SUMIFS($O$65:$O$86,$C$65:$C$86,$B$145,$G$65:$G$86,AM117))</f>
        <v/>
      </c>
      <c r="AN145" s="259" t="str">
        <f>IF(AN117="","",SUMIFS('Detailed Feasibility'!$M$65:$M$86,$C$65:$C$86,'Detailed Feasibility'!$B$145,'Detailed Feasibility'!$E$65:$E$86,'Detailed Feasibility'!AN117)+SUMIFS($N$65:$N$86,$C$65:$C$86,$B$145,$F$65:$F$86,AN117)+SUMIFS($O$65:$O$86,$C$65:$C$86,$B$145,$G$65:$G$86,AN117))</f>
        <v/>
      </c>
      <c r="AO145" s="259" t="str">
        <f>IF(AO117="","",SUMIFS('Detailed Feasibility'!$M$65:$M$86,$C$65:$C$86,'Detailed Feasibility'!$B$145,'Detailed Feasibility'!$E$65:$E$86,'Detailed Feasibility'!AO117)+SUMIFS($N$65:$N$86,$C$65:$C$86,$B$145,$F$65:$F$86,AO117)+SUMIFS($O$65:$O$86,$C$65:$C$86,$B$145,$G$65:$G$86,AO117))</f>
        <v/>
      </c>
      <c r="AP145" s="259" t="str">
        <f>IF(AP117="","",SUMIFS('Detailed Feasibility'!$M$65:$M$86,$C$65:$C$86,'Detailed Feasibility'!$B$145,'Detailed Feasibility'!$E$65:$E$86,'Detailed Feasibility'!AP117)+SUMIFS($N$65:$N$86,$C$65:$C$86,$B$145,$F$65:$F$86,AP117)+SUMIFS($O$65:$O$86,$C$65:$C$86,$B$145,$G$65:$G$86,AP117))</f>
        <v/>
      </c>
      <c r="AQ145" s="259" t="str">
        <f>IF(AQ117="","",SUMIFS('Detailed Feasibility'!$M$65:$M$86,$C$65:$C$86,'Detailed Feasibility'!$B$145,'Detailed Feasibility'!$E$65:$E$86,'Detailed Feasibility'!AQ117)+SUMIFS($N$65:$N$86,$C$65:$C$86,$B$145,$F$65:$F$86,AQ117)+SUMIFS($O$65:$O$86,$C$65:$C$86,$B$145,$G$65:$G$86,AQ117))</f>
        <v/>
      </c>
      <c r="AR145" s="259" t="str">
        <f>IF(AR117="","",SUMIFS('Detailed Feasibility'!$M$65:$M$86,$C$65:$C$86,'Detailed Feasibility'!$B$145,'Detailed Feasibility'!$E$65:$E$86,'Detailed Feasibility'!AR117)+SUMIFS($N$65:$N$86,$C$65:$C$86,$B$145,$F$65:$F$86,AR117)+SUMIFS($O$65:$O$86,$C$65:$C$86,$B$145,$G$65:$G$86,AR117))</f>
        <v/>
      </c>
      <c r="AS145" s="259" t="str">
        <f>IF(AS117="","",SUMIFS('Detailed Feasibility'!$M$65:$M$86,$C$65:$C$86,'Detailed Feasibility'!$B$145,'Detailed Feasibility'!$E$65:$E$86,'Detailed Feasibility'!AS117)+SUMIFS($N$65:$N$86,$C$65:$C$86,$B$145,$F$65:$F$86,AS117)+SUMIFS($O$65:$O$86,$C$65:$C$86,$B$145,$G$65:$G$86,AS117))</f>
        <v/>
      </c>
      <c r="AT145" s="259" t="str">
        <f>IF(AT117="","",SUMIFS('Detailed Feasibility'!$M$65:$M$86,$C$65:$C$86,'Detailed Feasibility'!$B$145,'Detailed Feasibility'!$E$65:$E$86,'Detailed Feasibility'!AT117)+SUMIFS($N$65:$N$86,$C$65:$C$86,$B$145,$F$65:$F$86,AT117)+SUMIFS($O$65:$O$86,$C$65:$C$86,$B$145,$G$65:$G$86,AT117))</f>
        <v/>
      </c>
      <c r="AU145" s="259" t="str">
        <f>IF(AU117="","",SUMIFS('Detailed Feasibility'!$M$65:$M$86,$C$65:$C$86,'Detailed Feasibility'!$B$145,'Detailed Feasibility'!$E$65:$E$86,'Detailed Feasibility'!AU117)+SUMIFS($N$65:$N$86,$C$65:$C$86,$B$145,$F$65:$F$86,AU117)+SUMIFS($O$65:$O$86,$C$65:$C$86,$B$145,$G$65:$G$86,AU117))</f>
        <v/>
      </c>
      <c r="AV145" s="259" t="str">
        <f>IF(AV117="","",SUMIFS('Detailed Feasibility'!$M$65:$M$86,$C$65:$C$86,'Detailed Feasibility'!$B$145,'Detailed Feasibility'!$E$65:$E$86,'Detailed Feasibility'!AV117)+SUMIFS($N$65:$N$86,$C$65:$C$86,$B$145,$F$65:$F$86,AV117)+SUMIFS($O$65:$O$86,$C$65:$C$86,$B$145,$G$65:$G$86,AV117))</f>
        <v/>
      </c>
      <c r="AW145" s="259" t="str">
        <f>IF(AW117="","",SUMIFS('Detailed Feasibility'!$M$65:$M$86,$C$65:$C$86,'Detailed Feasibility'!$B$145,'Detailed Feasibility'!$E$65:$E$86,'Detailed Feasibility'!AW117)+SUMIFS($N$65:$N$86,$C$65:$C$86,$B$145,$F$65:$F$86,AW117)+SUMIFS($O$65:$O$86,$C$65:$C$86,$B$145,$G$65:$G$86,AW117))</f>
        <v/>
      </c>
      <c r="AX145" s="259" t="str">
        <f>IF(AX117="","",SUMIFS('Detailed Feasibility'!$M$65:$M$86,$C$65:$C$86,'Detailed Feasibility'!$B$145,'Detailed Feasibility'!$E$65:$E$86,'Detailed Feasibility'!AX117)+SUMIFS($N$65:$N$86,$C$65:$C$86,$B$145,$F$65:$F$86,AX117)+SUMIFS($O$65:$O$86,$C$65:$C$86,$B$145,$G$65:$G$86,AX117))</f>
        <v/>
      </c>
      <c r="AY145" s="259" t="str">
        <f>IF(AY117="","",SUMIFS('Detailed Feasibility'!$M$65:$M$86,$C$65:$C$86,'Detailed Feasibility'!$B$145,'Detailed Feasibility'!$E$65:$E$86,'Detailed Feasibility'!AY117)+SUMIFS($N$65:$N$86,$C$65:$C$86,$B$145,$F$65:$F$86,AY117)+SUMIFS($O$65:$O$86,$C$65:$C$86,$B$145,$G$65:$G$86,AY117))</f>
        <v/>
      </c>
      <c r="AZ145" s="259" t="str">
        <f>IF(AZ117="","",SUMIFS('Detailed Feasibility'!$M$65:$M$86,$C$65:$C$86,'Detailed Feasibility'!$B$145,'Detailed Feasibility'!$E$65:$E$86,'Detailed Feasibility'!AZ117)+SUMIFS($N$65:$N$86,$C$65:$C$86,$B$145,$F$65:$F$86,AZ117)+SUMIFS($O$65:$O$86,$C$65:$C$86,$B$145,$G$65:$G$86,AZ117))</f>
        <v/>
      </c>
      <c r="BA145" s="259" t="str">
        <f>IF(BA117="","",SUMIFS('Detailed Feasibility'!$M$65:$M$86,$C$65:$C$86,'Detailed Feasibility'!$B$145,'Detailed Feasibility'!$E$65:$E$86,'Detailed Feasibility'!BA117)+SUMIFS($N$65:$N$86,$C$65:$C$86,$B$145,$F$65:$F$86,BA117)+SUMIFS($O$65:$O$86,$C$65:$C$86,$B$145,$G$65:$G$86,BA117))</f>
        <v/>
      </c>
      <c r="BB145" s="259" t="str">
        <f>IF(BB117="","",SUMIFS('Detailed Feasibility'!$M$65:$M$86,$C$65:$C$86,'Detailed Feasibility'!$B$145,'Detailed Feasibility'!$E$65:$E$86,'Detailed Feasibility'!BB117)+SUMIFS($N$65:$N$86,$C$65:$C$86,$B$145,$F$65:$F$86,BB117)+SUMIFS($O$65:$O$86,$C$65:$C$86,$B$145,$G$65:$G$86,BB117))</f>
        <v/>
      </c>
      <c r="BC145" s="259" t="str">
        <f>IF(BC117="","",SUMIFS('Detailed Feasibility'!$M$65:$M$86,$C$65:$C$86,'Detailed Feasibility'!$B$145,'Detailed Feasibility'!$E$65:$E$86,'Detailed Feasibility'!BC117)+SUMIFS($N$65:$N$86,$C$65:$C$86,$B$145,$F$65:$F$86,BC117)+SUMIFS($O$65:$O$86,$C$65:$C$86,$B$145,$G$65:$G$86,BC117))</f>
        <v/>
      </c>
      <c r="BD145" s="259" t="str">
        <f>IF(BD117="","",SUMIFS('Detailed Feasibility'!$M$65:$M$86,$C$65:$C$86,'Detailed Feasibility'!$B$145,'Detailed Feasibility'!$E$65:$E$86,'Detailed Feasibility'!BD117)+SUMIFS($N$65:$N$86,$C$65:$C$86,$B$145,$F$65:$F$86,BD117)+SUMIFS($O$65:$O$86,$C$65:$C$86,$B$145,$G$65:$G$86,BD117))</f>
        <v/>
      </c>
      <c r="BE145" s="259" t="str">
        <f>IF(BE117="","",SUMIFS('Detailed Feasibility'!$M$65:$M$86,$C$65:$C$86,'Detailed Feasibility'!$B$145,'Detailed Feasibility'!$E$65:$E$86,'Detailed Feasibility'!BE117)+SUMIFS($N$65:$N$86,$C$65:$C$86,$B$145,$F$65:$F$86,BE117)+SUMIFS($O$65:$O$86,$C$65:$C$86,$B$145,$G$65:$G$86,BE117))</f>
        <v/>
      </c>
      <c r="BF145" s="259" t="str">
        <f>IF(BF117="","",SUMIFS('Detailed Feasibility'!$M$65:$M$86,$C$65:$C$86,'Detailed Feasibility'!$B$145,'Detailed Feasibility'!$E$65:$E$86,'Detailed Feasibility'!BF117)+SUMIFS($N$65:$N$86,$C$65:$C$86,$B$145,$F$65:$F$86,BF117)+SUMIFS($O$65:$O$86,$C$65:$C$86,$B$145,$G$65:$G$86,BF117))</f>
        <v/>
      </c>
      <c r="BG145" s="259" t="str">
        <f>IF(BG117="","",SUMIFS('Detailed Feasibility'!$M$65:$M$86,$C$65:$C$86,'Detailed Feasibility'!$B$145,'Detailed Feasibility'!$E$65:$E$86,'Detailed Feasibility'!BG117)+SUMIFS($N$65:$N$86,$C$65:$C$86,$B$145,$F$65:$F$86,BG117)+SUMIFS($O$65:$O$86,$C$65:$C$86,$B$145,$G$65:$G$86,BG117))</f>
        <v/>
      </c>
      <c r="BH145" s="259" t="str">
        <f>IF(BH117="","",SUMIFS('Detailed Feasibility'!$M$65:$M$86,$C$65:$C$86,'Detailed Feasibility'!$B$145,'Detailed Feasibility'!$E$65:$E$86,'Detailed Feasibility'!BH117)+SUMIFS($N$65:$N$86,$C$65:$C$86,$B$145,$F$65:$F$86,BH117)+SUMIFS($O$65:$O$86,$C$65:$C$86,$B$145,$G$65:$G$86,BH117))</f>
        <v/>
      </c>
      <c r="BI145" s="259" t="str">
        <f>IF(BI117="","",SUMIFS('Detailed Feasibility'!$M$65:$M$86,$C$65:$C$86,'Detailed Feasibility'!$B$145,'Detailed Feasibility'!$E$65:$E$86,'Detailed Feasibility'!BI117)+SUMIFS($N$65:$N$86,$C$65:$C$86,$B$145,$F$65:$F$86,BI117)+SUMIFS($O$65:$O$86,$C$65:$C$86,$B$145,$G$65:$G$86,BI117))</f>
        <v/>
      </c>
      <c r="BJ145" s="259" t="str">
        <f>IF(BJ117="","",SUMIFS('Detailed Feasibility'!$M$65:$M$86,$C$65:$C$86,'Detailed Feasibility'!$B$145,'Detailed Feasibility'!$E$65:$E$86,'Detailed Feasibility'!BJ117)+SUMIFS($N$65:$N$86,$C$65:$C$86,$B$145,$F$65:$F$86,BJ117)+SUMIFS($O$65:$O$86,$C$65:$C$86,$B$145,$G$65:$G$86,BJ117))</f>
        <v/>
      </c>
      <c r="BK145" s="259" t="str">
        <f>IF(BK117="","",SUMIFS('Detailed Feasibility'!$M$65:$M$86,$C$65:$C$86,'Detailed Feasibility'!$B$145,'Detailed Feasibility'!$E$65:$E$86,'Detailed Feasibility'!BK117)+SUMIFS($N$65:$N$86,$C$65:$C$86,$B$145,$F$65:$F$86,BK117)+SUMIFS($O$65:$O$86,$C$65:$C$86,$B$145,$G$65:$G$86,BK117))</f>
        <v/>
      </c>
      <c r="BL145" s="259" t="str">
        <f>IF(BL117="","",SUMIFS('Detailed Feasibility'!$M$65:$M$86,$C$65:$C$86,'Detailed Feasibility'!$B$145,'Detailed Feasibility'!$E$65:$E$86,'Detailed Feasibility'!BL117)+SUMIFS($N$65:$N$86,$C$65:$C$86,$B$145,$F$65:$F$86,BL117)+SUMIFS($O$65:$O$86,$C$65:$C$86,$B$145,$G$65:$G$86,BL117))</f>
        <v/>
      </c>
      <c r="BM145" s="260" t="str">
        <f>IF(BM117="","",SUMIFS('Detailed Feasibility'!$M$65:$M$86,$C$65:$C$86,'Detailed Feasibility'!$B$145,'Detailed Feasibility'!$E$65:$E$86,'Detailed Feasibility'!BM117)+SUMIFS($N$65:$N$86,$C$65:$C$86,$B$145,$F$65:$F$86,BM117)+SUMIFS($O$65:$O$86,$C$65:$C$86,$B$145,$G$65:$G$86,BM117))</f>
        <v/>
      </c>
    </row>
    <row r="146" spans="2:65" s="198" customFormat="1" x14ac:dyDescent="0.25">
      <c r="B146" s="353" t="s">
        <v>30</v>
      </c>
      <c r="C146" s="736"/>
      <c r="D146" s="212">
        <f>'Detailed Feasibility Inputs'!F46</f>
        <v>465000</v>
      </c>
      <c r="E146" s="736">
        <f>IF(SUM(F146:BM146)=D146,1,0)</f>
        <v>1</v>
      </c>
      <c r="F146" s="259">
        <f>SUM(F140:F145)*'Detailed Feasibility Inputs'!$E$46</f>
        <v>0</v>
      </c>
      <c r="G146" s="259">
        <f>IF(G117="","",SUM(G140:G145)*'Detailed Feasibility Inputs'!$E$46)</f>
        <v>0</v>
      </c>
      <c r="H146" s="259">
        <f>IF(H117="","",SUM(H140:H145)*'Detailed Feasibility Inputs'!$E$46)</f>
        <v>0</v>
      </c>
      <c r="I146" s="259">
        <f>IF(I117="","",SUM(I140:I145)*'Detailed Feasibility Inputs'!$E$46)</f>
        <v>0</v>
      </c>
      <c r="J146" s="259">
        <f>IF(J117="","",SUM(J140:J145)*'Detailed Feasibility Inputs'!$E$46)</f>
        <v>0</v>
      </c>
      <c r="K146" s="259">
        <f>IF(K117="","",SUM(K140:K145)*'Detailed Feasibility Inputs'!$E$46)</f>
        <v>0</v>
      </c>
      <c r="L146" s="259">
        <f>IF(L117="","",SUM(L140:L145)*'Detailed Feasibility Inputs'!$E$46)</f>
        <v>0</v>
      </c>
      <c r="M146" s="259">
        <f>IF(M117="","",SUM(M140:M145)*'Detailed Feasibility Inputs'!$E$46)</f>
        <v>0</v>
      </c>
      <c r="N146" s="259">
        <f>IF(N117="","",SUM(N140:N145)*'Detailed Feasibility Inputs'!$E$46)</f>
        <v>0</v>
      </c>
      <c r="O146" s="259">
        <f>IF(O117="","",SUM(O140:O145)*'Detailed Feasibility Inputs'!$E$46)</f>
        <v>0</v>
      </c>
      <c r="P146" s="259">
        <f>IF(P117="","",SUM(P140:P145)*'Detailed Feasibility Inputs'!$E$46)</f>
        <v>0</v>
      </c>
      <c r="Q146" s="259">
        <f>IF(Q117="","",SUM(Q140:Q145)*'Detailed Feasibility Inputs'!$E$46)</f>
        <v>52500</v>
      </c>
      <c r="R146" s="259">
        <f>IF(R117="","",SUM(R140:R145)*'Detailed Feasibility Inputs'!$E$46)</f>
        <v>0</v>
      </c>
      <c r="S146" s="259">
        <f>IF(S117="","",SUM(S140:S145)*'Detailed Feasibility Inputs'!$E$46)</f>
        <v>15000</v>
      </c>
      <c r="T146" s="259">
        <f>IF(T117="","",SUM(T140:T145)*'Detailed Feasibility Inputs'!$E$46)</f>
        <v>0</v>
      </c>
      <c r="U146" s="259">
        <f>IF(U117="","",SUM(U140:U145)*'Detailed Feasibility Inputs'!$E$46)</f>
        <v>0</v>
      </c>
      <c r="V146" s="259">
        <f>IF(V117="","",SUM(V140:V145)*'Detailed Feasibility Inputs'!$E$46)</f>
        <v>15000</v>
      </c>
      <c r="W146" s="259">
        <f>IF(W117="","",SUM(W140:W145)*'Detailed Feasibility Inputs'!$E$46)</f>
        <v>67500</v>
      </c>
      <c r="X146" s="259">
        <f>IF(X117="","",SUM(X140:X145)*'Detailed Feasibility Inputs'!$E$46)</f>
        <v>0</v>
      </c>
      <c r="Y146" s="259">
        <f>IF(Y117="","",SUM(Y140:Y145)*'Detailed Feasibility Inputs'!$E$46)</f>
        <v>0</v>
      </c>
      <c r="Z146" s="259">
        <f>IF(Z117="","",SUM(Z140:Z145)*'Detailed Feasibility Inputs'!$E$46)</f>
        <v>139999.99999999997</v>
      </c>
      <c r="AA146" s="259">
        <f>IF(AA117="","",SUM(AA140:AA145)*'Detailed Feasibility Inputs'!$E$46)</f>
        <v>0</v>
      </c>
      <c r="AB146" s="259">
        <f>IF(AB117="","",SUM(AB140:AB145)*'Detailed Feasibility Inputs'!$E$46)</f>
        <v>0</v>
      </c>
      <c r="AC146" s="259">
        <f>IF(AC117="","",SUM(AC140:AC145)*'Detailed Feasibility Inputs'!$E$46)</f>
        <v>87499.999999999985</v>
      </c>
      <c r="AD146" s="259">
        <f>IF(AD117="","",SUM(AD140:AD145)*'Detailed Feasibility Inputs'!$E$46)</f>
        <v>87499.999999999985</v>
      </c>
      <c r="AE146" s="259">
        <f>IF(AE117="","",SUM(AE140:AE145)*'Detailed Feasibility Inputs'!$E$46)</f>
        <v>0</v>
      </c>
      <c r="AF146" s="259" t="str">
        <f>IF(AF117="","",SUM(AF140:AF145)*'Detailed Feasibility Inputs'!$E$46)</f>
        <v/>
      </c>
      <c r="AG146" s="259" t="str">
        <f>IF(AG117="","",SUM(AG140:AG145)*'Detailed Feasibility Inputs'!$E$46)</f>
        <v/>
      </c>
      <c r="AH146" s="259" t="str">
        <f>IF(AH117="","",SUM(AH140:AH145)*'Detailed Feasibility Inputs'!$E$46)</f>
        <v/>
      </c>
      <c r="AI146" s="259" t="str">
        <f>IF(AI117="","",SUM(AI140:AI145)*'Detailed Feasibility Inputs'!$E$46)</f>
        <v/>
      </c>
      <c r="AJ146" s="259" t="str">
        <f>IF(AJ117="","",SUM(AJ140:AJ145)*'Detailed Feasibility Inputs'!$E$46)</f>
        <v/>
      </c>
      <c r="AK146" s="259" t="str">
        <f>IF(AK117="","",SUM(AK140:AK145)*'Detailed Feasibility Inputs'!$E$46)</f>
        <v/>
      </c>
      <c r="AL146" s="259" t="str">
        <f>IF(AL117="","",SUM(AL140:AL145)*'Detailed Feasibility Inputs'!$E$46)</f>
        <v/>
      </c>
      <c r="AM146" s="259" t="str">
        <f>IF(AM117="","",SUM(AM140:AM145)*'Detailed Feasibility Inputs'!$E$46)</f>
        <v/>
      </c>
      <c r="AN146" s="259" t="str">
        <f>IF(AN117="","",SUM(AN140:AN145)*'Detailed Feasibility Inputs'!$E$46)</f>
        <v/>
      </c>
      <c r="AO146" s="259" t="str">
        <f>IF(AO117="","",SUM(AO140:AO145)*'Detailed Feasibility Inputs'!$E$46)</f>
        <v/>
      </c>
      <c r="AP146" s="259" t="str">
        <f>IF(AP117="","",SUM(AP140:AP145)*'Detailed Feasibility Inputs'!$E$46)</f>
        <v/>
      </c>
      <c r="AQ146" s="259" t="str">
        <f>IF(AQ117="","",SUM(AQ140:AQ145)*'Detailed Feasibility Inputs'!$E$46)</f>
        <v/>
      </c>
      <c r="AR146" s="259" t="str">
        <f>IF(AR117="","",SUM(AR140:AR145)*'Detailed Feasibility Inputs'!$E$46)</f>
        <v/>
      </c>
      <c r="AS146" s="259" t="str">
        <f>IF(AS117="","",SUM(AS140:AS145)*'Detailed Feasibility Inputs'!$E$46)</f>
        <v/>
      </c>
      <c r="AT146" s="259" t="str">
        <f>IF(AT117="","",SUM(AT140:AT145)*'Detailed Feasibility Inputs'!$E$46)</f>
        <v/>
      </c>
      <c r="AU146" s="259" t="str">
        <f>IF(AU117="","",SUM(AU140:AU145)*'Detailed Feasibility Inputs'!$E$46)</f>
        <v/>
      </c>
      <c r="AV146" s="259" t="str">
        <f>IF(AV117="","",SUM(AV140:AV145)*'Detailed Feasibility Inputs'!$E$46)</f>
        <v/>
      </c>
      <c r="AW146" s="259" t="str">
        <f>IF(AW117="","",SUM(AW140:AW145)*'Detailed Feasibility Inputs'!$E$46)</f>
        <v/>
      </c>
      <c r="AX146" s="259" t="str">
        <f>IF(AX117="","",SUM(AX140:AX145)*'Detailed Feasibility Inputs'!$E$46)</f>
        <v/>
      </c>
      <c r="AY146" s="259" t="str">
        <f>IF(AY117="","",SUM(AY140:AY145)*'Detailed Feasibility Inputs'!$E$46)</f>
        <v/>
      </c>
      <c r="AZ146" s="259" t="str">
        <f>IF(AZ117="","",SUM(AZ140:AZ145)*'Detailed Feasibility Inputs'!$E$46)</f>
        <v/>
      </c>
      <c r="BA146" s="259" t="str">
        <f>IF(BA117="","",SUM(BA140:BA145)*'Detailed Feasibility Inputs'!$E$46)</f>
        <v/>
      </c>
      <c r="BB146" s="259" t="str">
        <f>IF(BB117="","",SUM(BB140:BB145)*'Detailed Feasibility Inputs'!$E$46)</f>
        <v/>
      </c>
      <c r="BC146" s="259" t="str">
        <f>IF(BC117="","",SUM(BC140:BC145)*'Detailed Feasibility Inputs'!$E$46)</f>
        <v/>
      </c>
      <c r="BD146" s="259" t="str">
        <f>IF(BD117="","",SUM(BD140:BD145)*'Detailed Feasibility Inputs'!$E$46)</f>
        <v/>
      </c>
      <c r="BE146" s="259" t="str">
        <f>IF(BE117="","",SUM(BE140:BE145)*'Detailed Feasibility Inputs'!$E$46)</f>
        <v/>
      </c>
      <c r="BF146" s="259" t="str">
        <f>IF(BF117="","",SUM(BF140:BF145)*'Detailed Feasibility Inputs'!$E$46)</f>
        <v/>
      </c>
      <c r="BG146" s="259" t="str">
        <f>IF(BG117="","",SUM(BG140:BG145)*'Detailed Feasibility Inputs'!$E$46)</f>
        <v/>
      </c>
      <c r="BH146" s="259" t="str">
        <f>IF(BH117="","",SUM(BH140:BH145)*'Detailed Feasibility Inputs'!$E$46)</f>
        <v/>
      </c>
      <c r="BI146" s="259" t="str">
        <f>IF(BI117="","",SUM(BI140:BI145)*'Detailed Feasibility Inputs'!$E$46)</f>
        <v/>
      </c>
      <c r="BJ146" s="259" t="str">
        <f>IF(BJ117="","",SUM(BJ140:BJ145)*'Detailed Feasibility Inputs'!$E$46)</f>
        <v/>
      </c>
      <c r="BK146" s="259" t="str">
        <f>IF(BK117="","",SUM(BK140:BK145)*'Detailed Feasibility Inputs'!$E$46)</f>
        <v/>
      </c>
      <c r="BL146" s="259" t="str">
        <f>IF(BL117="","",SUM(BL140:BL145)*'Detailed Feasibility Inputs'!$E$46)</f>
        <v/>
      </c>
      <c r="BM146" s="260" t="str">
        <f>IF(BM117="","",SUM(BM140:BM145)*'Detailed Feasibility Inputs'!$E$46)</f>
        <v/>
      </c>
    </row>
    <row r="147" spans="2:65" s="198" customFormat="1" x14ac:dyDescent="0.25">
      <c r="B147" s="113" t="s">
        <v>222</v>
      </c>
      <c r="C147" s="265"/>
      <c r="D147" s="522"/>
      <c r="E147" s="265"/>
      <c r="F147" s="262">
        <f>-SUM(F135:F146)</f>
        <v>-1010000</v>
      </c>
      <c r="G147" s="262">
        <f>IF(G$117="","",-SUM(G135:G146))</f>
        <v>0</v>
      </c>
      <c r="H147" s="262">
        <f t="shared" ref="H147:AL147" si="31">IF(H$117="","",-SUM(H135:H146))</f>
        <v>-73208.823529411762</v>
      </c>
      <c r="I147" s="262">
        <f t="shared" si="31"/>
        <v>-73208.823529411762</v>
      </c>
      <c r="J147" s="262">
        <f t="shared" si="31"/>
        <v>-73208.823529411762</v>
      </c>
      <c r="K147" s="262">
        <f t="shared" si="31"/>
        <v>-133208.82352941175</v>
      </c>
      <c r="L147" s="262">
        <f t="shared" si="31"/>
        <v>-133208.82352941175</v>
      </c>
      <c r="M147" s="262">
        <f t="shared" si="31"/>
        <v>-133208.82352941175</v>
      </c>
      <c r="N147" s="262">
        <f t="shared" si="31"/>
        <v>-133208.82352941175</v>
      </c>
      <c r="O147" s="262">
        <f t="shared" si="31"/>
        <v>-133208.82352941175</v>
      </c>
      <c r="P147" s="262">
        <f t="shared" si="31"/>
        <v>-133208.82352941175</v>
      </c>
      <c r="Q147" s="262">
        <f t="shared" si="31"/>
        <v>-475708.82352941175</v>
      </c>
      <c r="R147" s="262">
        <f t="shared" si="31"/>
        <v>-73208.823529411762</v>
      </c>
      <c r="S147" s="262">
        <f t="shared" si="31"/>
        <v>-188208.82352941175</v>
      </c>
      <c r="T147" s="262">
        <f t="shared" si="31"/>
        <v>-73208.823529411762</v>
      </c>
      <c r="U147" s="262">
        <f t="shared" si="31"/>
        <v>-73208.823529411762</v>
      </c>
      <c r="V147" s="262">
        <f t="shared" si="31"/>
        <v>-188208.82352941175</v>
      </c>
      <c r="W147" s="262">
        <f t="shared" si="31"/>
        <v>-590708.82352941181</v>
      </c>
      <c r="X147" s="262">
        <f t="shared" si="31"/>
        <v>-73208.823529411762</v>
      </c>
      <c r="Y147" s="262">
        <f t="shared" si="31"/>
        <v>0</v>
      </c>
      <c r="Z147" s="262">
        <f t="shared" si="31"/>
        <v>-1073333.3333333333</v>
      </c>
      <c r="AA147" s="262">
        <f t="shared" si="31"/>
        <v>0</v>
      </c>
      <c r="AB147" s="262">
        <f t="shared" si="31"/>
        <v>0</v>
      </c>
      <c r="AC147" s="262">
        <f t="shared" si="31"/>
        <v>-670833.33333333326</v>
      </c>
      <c r="AD147" s="262">
        <f t="shared" si="31"/>
        <v>-670833.33333333326</v>
      </c>
      <c r="AE147" s="262">
        <f t="shared" si="31"/>
        <v>0</v>
      </c>
      <c r="AF147" s="262" t="str">
        <f t="shared" si="31"/>
        <v/>
      </c>
      <c r="AG147" s="262" t="str">
        <f t="shared" si="31"/>
        <v/>
      </c>
      <c r="AH147" s="262" t="str">
        <f t="shared" si="31"/>
        <v/>
      </c>
      <c r="AI147" s="262" t="str">
        <f t="shared" si="31"/>
        <v/>
      </c>
      <c r="AJ147" s="262" t="str">
        <f t="shared" si="31"/>
        <v/>
      </c>
      <c r="AK147" s="262" t="str">
        <f t="shared" si="31"/>
        <v/>
      </c>
      <c r="AL147" s="262" t="str">
        <f t="shared" si="31"/>
        <v/>
      </c>
      <c r="AM147" s="262" t="str">
        <f t="shared" ref="AM147:BM147" si="32">IF(AM$117="","",-SUM(AM135:AM146))</f>
        <v/>
      </c>
      <c r="AN147" s="262" t="str">
        <f t="shared" si="32"/>
        <v/>
      </c>
      <c r="AO147" s="262" t="str">
        <f t="shared" si="32"/>
        <v/>
      </c>
      <c r="AP147" s="262" t="str">
        <f t="shared" si="32"/>
        <v/>
      </c>
      <c r="AQ147" s="262" t="str">
        <f t="shared" si="32"/>
        <v/>
      </c>
      <c r="AR147" s="262" t="str">
        <f t="shared" si="32"/>
        <v/>
      </c>
      <c r="AS147" s="262" t="str">
        <f t="shared" si="32"/>
        <v/>
      </c>
      <c r="AT147" s="262" t="str">
        <f t="shared" si="32"/>
        <v/>
      </c>
      <c r="AU147" s="262" t="str">
        <f t="shared" si="32"/>
        <v/>
      </c>
      <c r="AV147" s="262" t="str">
        <f t="shared" si="32"/>
        <v/>
      </c>
      <c r="AW147" s="262" t="str">
        <f t="shared" si="32"/>
        <v/>
      </c>
      <c r="AX147" s="262" t="str">
        <f t="shared" si="32"/>
        <v/>
      </c>
      <c r="AY147" s="262" t="str">
        <f t="shared" si="32"/>
        <v/>
      </c>
      <c r="AZ147" s="262" t="str">
        <f t="shared" si="32"/>
        <v/>
      </c>
      <c r="BA147" s="262" t="str">
        <f t="shared" si="32"/>
        <v/>
      </c>
      <c r="BB147" s="262" t="str">
        <f t="shared" si="32"/>
        <v/>
      </c>
      <c r="BC147" s="262" t="str">
        <f t="shared" si="32"/>
        <v/>
      </c>
      <c r="BD147" s="262" t="str">
        <f t="shared" si="32"/>
        <v/>
      </c>
      <c r="BE147" s="262" t="str">
        <f t="shared" si="32"/>
        <v/>
      </c>
      <c r="BF147" s="262" t="str">
        <f t="shared" si="32"/>
        <v/>
      </c>
      <c r="BG147" s="262" t="str">
        <f t="shared" si="32"/>
        <v/>
      </c>
      <c r="BH147" s="262" t="str">
        <f t="shared" si="32"/>
        <v/>
      </c>
      <c r="BI147" s="262" t="str">
        <f t="shared" si="32"/>
        <v/>
      </c>
      <c r="BJ147" s="262" t="str">
        <f t="shared" si="32"/>
        <v/>
      </c>
      <c r="BK147" s="262" t="str">
        <f t="shared" si="32"/>
        <v/>
      </c>
      <c r="BL147" s="262" t="str">
        <f t="shared" si="32"/>
        <v/>
      </c>
      <c r="BM147" s="264" t="str">
        <f t="shared" si="32"/>
        <v/>
      </c>
    </row>
    <row r="148" spans="2:65" s="198" customFormat="1" x14ac:dyDescent="0.25">
      <c r="B148" s="261" t="s">
        <v>223</v>
      </c>
      <c r="C148" s="500"/>
      <c r="D148" s="193"/>
      <c r="E148" s="500"/>
      <c r="F148" s="259">
        <f>F132+F147</f>
        <v>-83067.500000000116</v>
      </c>
      <c r="G148" s="259">
        <f>IF(G$117="","",G132+G147)</f>
        <v>0</v>
      </c>
      <c r="H148" s="259">
        <f t="shared" ref="H148:BM148" si="33">IF(H$117="","",H132+H147)</f>
        <v>-73208.823529411762</v>
      </c>
      <c r="I148" s="259">
        <f t="shared" si="33"/>
        <v>-73208.823529411762</v>
      </c>
      <c r="J148" s="259">
        <f t="shared" si="33"/>
        <v>-73208.823529411762</v>
      </c>
      <c r="K148" s="259">
        <f t="shared" si="33"/>
        <v>-133208.82352941175</v>
      </c>
      <c r="L148" s="259">
        <f t="shared" si="33"/>
        <v>-133208.82352941175</v>
      </c>
      <c r="M148" s="259">
        <f t="shared" si="33"/>
        <v>-133208.82352941175</v>
      </c>
      <c r="N148" s="259">
        <f t="shared" si="33"/>
        <v>-133208.82352941175</v>
      </c>
      <c r="O148" s="259">
        <f t="shared" si="33"/>
        <v>-133208.82352941175</v>
      </c>
      <c r="P148" s="259">
        <f t="shared" si="33"/>
        <v>-133208.82352941175</v>
      </c>
      <c r="Q148" s="259">
        <f t="shared" si="33"/>
        <v>-475708.82352941175</v>
      </c>
      <c r="R148" s="259">
        <f t="shared" si="33"/>
        <v>-73208.823529411762</v>
      </c>
      <c r="S148" s="259">
        <f t="shared" si="33"/>
        <v>-188208.82352941175</v>
      </c>
      <c r="T148" s="259">
        <f t="shared" si="33"/>
        <v>-73208.823529411762</v>
      </c>
      <c r="U148" s="259">
        <f t="shared" si="33"/>
        <v>-73208.823529411762</v>
      </c>
      <c r="V148" s="259">
        <f t="shared" si="33"/>
        <v>-103776.94852941176</v>
      </c>
      <c r="W148" s="259">
        <f t="shared" si="33"/>
        <v>-100916.74019607855</v>
      </c>
      <c r="X148" s="259">
        <f t="shared" si="33"/>
        <v>-73208.823529411762</v>
      </c>
      <c r="Y148" s="259">
        <f t="shared" si="33"/>
        <v>0</v>
      </c>
      <c r="Z148" s="259">
        <f t="shared" si="33"/>
        <v>-570378.33333333326</v>
      </c>
      <c r="AA148" s="259">
        <f t="shared" si="33"/>
        <v>0</v>
      </c>
      <c r="AB148" s="259">
        <f t="shared" si="33"/>
        <v>0</v>
      </c>
      <c r="AC148" s="259">
        <f t="shared" si="33"/>
        <v>-205548.95833333331</v>
      </c>
      <c r="AD148" s="259">
        <f t="shared" si="33"/>
        <v>-50454.166666666511</v>
      </c>
      <c r="AE148" s="259">
        <f t="shared" si="33"/>
        <v>0</v>
      </c>
      <c r="AF148" s="259" t="str">
        <f t="shared" si="33"/>
        <v/>
      </c>
      <c r="AG148" s="259" t="str">
        <f t="shared" si="33"/>
        <v/>
      </c>
      <c r="AH148" s="259" t="str">
        <f t="shared" si="33"/>
        <v/>
      </c>
      <c r="AI148" s="259" t="str">
        <f t="shared" si="33"/>
        <v/>
      </c>
      <c r="AJ148" s="259" t="str">
        <f t="shared" si="33"/>
        <v/>
      </c>
      <c r="AK148" s="259" t="str">
        <f t="shared" si="33"/>
        <v/>
      </c>
      <c r="AL148" s="259" t="str">
        <f t="shared" si="33"/>
        <v/>
      </c>
      <c r="AM148" s="259" t="str">
        <f t="shared" si="33"/>
        <v/>
      </c>
      <c r="AN148" s="259" t="str">
        <f t="shared" si="33"/>
        <v/>
      </c>
      <c r="AO148" s="259" t="str">
        <f t="shared" si="33"/>
        <v/>
      </c>
      <c r="AP148" s="259" t="str">
        <f t="shared" si="33"/>
        <v/>
      </c>
      <c r="AQ148" s="259" t="str">
        <f t="shared" si="33"/>
        <v/>
      </c>
      <c r="AR148" s="259" t="str">
        <f t="shared" si="33"/>
        <v/>
      </c>
      <c r="AS148" s="259" t="str">
        <f t="shared" si="33"/>
        <v/>
      </c>
      <c r="AT148" s="259" t="str">
        <f t="shared" si="33"/>
        <v/>
      </c>
      <c r="AU148" s="259" t="str">
        <f t="shared" si="33"/>
        <v/>
      </c>
      <c r="AV148" s="259" t="str">
        <f t="shared" si="33"/>
        <v/>
      </c>
      <c r="AW148" s="259" t="str">
        <f t="shared" si="33"/>
        <v/>
      </c>
      <c r="AX148" s="259" t="str">
        <f t="shared" si="33"/>
        <v/>
      </c>
      <c r="AY148" s="259" t="str">
        <f t="shared" si="33"/>
        <v/>
      </c>
      <c r="AZ148" s="259" t="str">
        <f t="shared" si="33"/>
        <v/>
      </c>
      <c r="BA148" s="259" t="str">
        <f t="shared" si="33"/>
        <v/>
      </c>
      <c r="BB148" s="259" t="str">
        <f t="shared" si="33"/>
        <v/>
      </c>
      <c r="BC148" s="259" t="str">
        <f t="shared" si="33"/>
        <v/>
      </c>
      <c r="BD148" s="259" t="str">
        <f t="shared" si="33"/>
        <v/>
      </c>
      <c r="BE148" s="259" t="str">
        <f t="shared" si="33"/>
        <v/>
      </c>
      <c r="BF148" s="259" t="str">
        <f t="shared" si="33"/>
        <v/>
      </c>
      <c r="BG148" s="259" t="str">
        <f t="shared" si="33"/>
        <v/>
      </c>
      <c r="BH148" s="259" t="str">
        <f t="shared" si="33"/>
        <v/>
      </c>
      <c r="BI148" s="259" t="str">
        <f t="shared" si="33"/>
        <v/>
      </c>
      <c r="BJ148" s="259" t="str">
        <f t="shared" si="33"/>
        <v/>
      </c>
      <c r="BK148" s="259" t="str">
        <f t="shared" si="33"/>
        <v/>
      </c>
      <c r="BL148" s="259" t="str">
        <f t="shared" si="33"/>
        <v/>
      </c>
      <c r="BM148" s="260" t="str">
        <f t="shared" si="33"/>
        <v/>
      </c>
    </row>
    <row r="149" spans="2:65" s="198" customFormat="1" x14ac:dyDescent="0.25">
      <c r="B149" s="58" t="s">
        <v>224</v>
      </c>
      <c r="C149" s="194"/>
      <c r="D149" s="262"/>
      <c r="E149" s="263"/>
      <c r="F149" s="262">
        <f>F148</f>
        <v>-83067.500000000116</v>
      </c>
      <c r="G149" s="262">
        <f t="shared" ref="G149:AL149" si="34">IF(G$117="","",G148+F149)</f>
        <v>-83067.500000000116</v>
      </c>
      <c r="H149" s="262">
        <f t="shared" si="34"/>
        <v>-156276.32352941186</v>
      </c>
      <c r="I149" s="262">
        <f t="shared" si="34"/>
        <v>-229485.14705882361</v>
      </c>
      <c r="J149" s="262">
        <f t="shared" si="34"/>
        <v>-302693.97058823536</v>
      </c>
      <c r="K149" s="262">
        <f t="shared" si="34"/>
        <v>-435902.79411764711</v>
      </c>
      <c r="L149" s="262">
        <f t="shared" si="34"/>
        <v>-569111.6176470588</v>
      </c>
      <c r="M149" s="262">
        <f t="shared" si="34"/>
        <v>-702320.4411764706</v>
      </c>
      <c r="N149" s="262">
        <f t="shared" si="34"/>
        <v>-835529.26470588241</v>
      </c>
      <c r="O149" s="262">
        <f t="shared" si="34"/>
        <v>-968738.08823529421</v>
      </c>
      <c r="P149" s="262">
        <f t="shared" si="34"/>
        <v>-1101946.911764706</v>
      </c>
      <c r="Q149" s="262">
        <f t="shared" si="34"/>
        <v>-1577655.7352941178</v>
      </c>
      <c r="R149" s="262">
        <f t="shared" si="34"/>
        <v>-1650864.5588235296</v>
      </c>
      <c r="S149" s="262">
        <f t="shared" si="34"/>
        <v>-1839073.3823529414</v>
      </c>
      <c r="T149" s="262">
        <f t="shared" si="34"/>
        <v>-1912282.2058823532</v>
      </c>
      <c r="U149" s="262">
        <f t="shared" si="34"/>
        <v>-1985491.029411765</v>
      </c>
      <c r="V149" s="262">
        <f t="shared" si="34"/>
        <v>-2089267.9779411769</v>
      </c>
      <c r="W149" s="262">
        <f t="shared" si="34"/>
        <v>-2190184.7181372554</v>
      </c>
      <c r="X149" s="262">
        <f t="shared" si="34"/>
        <v>-2263393.541666667</v>
      </c>
      <c r="Y149" s="262">
        <f t="shared" si="34"/>
        <v>-2263393.541666667</v>
      </c>
      <c r="Z149" s="262">
        <f t="shared" si="34"/>
        <v>-2833771.875</v>
      </c>
      <c r="AA149" s="262">
        <f t="shared" si="34"/>
        <v>-2833771.875</v>
      </c>
      <c r="AB149" s="262">
        <f t="shared" si="34"/>
        <v>-2833771.875</v>
      </c>
      <c r="AC149" s="262">
        <f t="shared" si="34"/>
        <v>-3039320.8333333335</v>
      </c>
      <c r="AD149" s="262">
        <f t="shared" si="34"/>
        <v>-3089775</v>
      </c>
      <c r="AE149" s="262">
        <f t="shared" si="34"/>
        <v>-3089775</v>
      </c>
      <c r="AF149" s="262" t="str">
        <f t="shared" si="34"/>
        <v/>
      </c>
      <c r="AG149" s="262" t="str">
        <f t="shared" si="34"/>
        <v/>
      </c>
      <c r="AH149" s="262" t="str">
        <f t="shared" si="34"/>
        <v/>
      </c>
      <c r="AI149" s="262" t="str">
        <f t="shared" si="34"/>
        <v/>
      </c>
      <c r="AJ149" s="262" t="str">
        <f t="shared" si="34"/>
        <v/>
      </c>
      <c r="AK149" s="262" t="str">
        <f t="shared" si="34"/>
        <v/>
      </c>
      <c r="AL149" s="262" t="str">
        <f t="shared" si="34"/>
        <v/>
      </c>
      <c r="AM149" s="262" t="str">
        <f t="shared" ref="AM149:BM149" si="35">IF(AM$117="","",AM148+AL149)</f>
        <v/>
      </c>
      <c r="AN149" s="262" t="str">
        <f t="shared" si="35"/>
        <v/>
      </c>
      <c r="AO149" s="262" t="str">
        <f t="shared" si="35"/>
        <v/>
      </c>
      <c r="AP149" s="262" t="str">
        <f t="shared" si="35"/>
        <v/>
      </c>
      <c r="AQ149" s="262" t="str">
        <f t="shared" si="35"/>
        <v/>
      </c>
      <c r="AR149" s="262" t="str">
        <f t="shared" si="35"/>
        <v/>
      </c>
      <c r="AS149" s="262" t="str">
        <f t="shared" si="35"/>
        <v/>
      </c>
      <c r="AT149" s="262" t="str">
        <f t="shared" si="35"/>
        <v/>
      </c>
      <c r="AU149" s="262" t="str">
        <f t="shared" si="35"/>
        <v/>
      </c>
      <c r="AV149" s="262" t="str">
        <f t="shared" si="35"/>
        <v/>
      </c>
      <c r="AW149" s="262" t="str">
        <f t="shared" si="35"/>
        <v/>
      </c>
      <c r="AX149" s="262" t="str">
        <f t="shared" si="35"/>
        <v/>
      </c>
      <c r="AY149" s="262" t="str">
        <f t="shared" si="35"/>
        <v/>
      </c>
      <c r="AZ149" s="262" t="str">
        <f t="shared" si="35"/>
        <v/>
      </c>
      <c r="BA149" s="262" t="str">
        <f t="shared" si="35"/>
        <v/>
      </c>
      <c r="BB149" s="262" t="str">
        <f t="shared" si="35"/>
        <v/>
      </c>
      <c r="BC149" s="262" t="str">
        <f t="shared" si="35"/>
        <v/>
      </c>
      <c r="BD149" s="262" t="str">
        <f t="shared" si="35"/>
        <v/>
      </c>
      <c r="BE149" s="262" t="str">
        <f t="shared" si="35"/>
        <v/>
      </c>
      <c r="BF149" s="262" t="str">
        <f t="shared" si="35"/>
        <v/>
      </c>
      <c r="BG149" s="262" t="str">
        <f t="shared" si="35"/>
        <v/>
      </c>
      <c r="BH149" s="262" t="str">
        <f t="shared" si="35"/>
        <v/>
      </c>
      <c r="BI149" s="262" t="str">
        <f t="shared" si="35"/>
        <v/>
      </c>
      <c r="BJ149" s="262" t="str">
        <f t="shared" si="35"/>
        <v/>
      </c>
      <c r="BK149" s="262" t="str">
        <f t="shared" si="35"/>
        <v/>
      </c>
      <c r="BL149" s="262" t="str">
        <f t="shared" si="35"/>
        <v/>
      </c>
      <c r="BM149" s="264" t="str">
        <f t="shared" si="35"/>
        <v/>
      </c>
    </row>
    <row r="150" spans="2:65" s="198" customFormat="1" x14ac:dyDescent="0.25">
      <c r="B150" s="523" t="s">
        <v>401</v>
      </c>
      <c r="C150" s="161"/>
      <c r="D150" s="259"/>
      <c r="E150" s="20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59"/>
      <c r="AY150" s="259"/>
      <c r="AZ150" s="259"/>
      <c r="BA150" s="259"/>
      <c r="BB150" s="259"/>
      <c r="BC150" s="259"/>
      <c r="BD150" s="259"/>
      <c r="BE150" s="259"/>
      <c r="BF150" s="259"/>
      <c r="BG150" s="259"/>
      <c r="BH150" s="259"/>
      <c r="BI150" s="259"/>
      <c r="BJ150" s="259"/>
      <c r="BK150" s="259"/>
      <c r="BL150" s="259"/>
      <c r="BM150" s="260"/>
    </row>
    <row r="151" spans="2:65" s="198" customFormat="1" x14ac:dyDescent="0.25">
      <c r="B151" s="208" t="s">
        <v>226</v>
      </c>
      <c r="C151" s="209"/>
      <c r="D151" s="212"/>
      <c r="E151" s="500"/>
      <c r="F151" s="259">
        <f>IF(F149&lt;=0,-F149,0)</f>
        <v>83067.500000000116</v>
      </c>
      <c r="G151" s="259">
        <f t="shared" ref="G151:AL151" si="36">IF(G117="","",IF(G149&lt;=0,-G149,0))</f>
        <v>83067.500000000116</v>
      </c>
      <c r="H151" s="259">
        <f t="shared" si="36"/>
        <v>156276.32352941186</v>
      </c>
      <c r="I151" s="259">
        <f t="shared" si="36"/>
        <v>229485.14705882361</v>
      </c>
      <c r="J151" s="259">
        <f t="shared" si="36"/>
        <v>302693.97058823536</v>
      </c>
      <c r="K151" s="259">
        <f t="shared" si="36"/>
        <v>435902.79411764711</v>
      </c>
      <c r="L151" s="259">
        <f t="shared" si="36"/>
        <v>569111.6176470588</v>
      </c>
      <c r="M151" s="259">
        <f t="shared" si="36"/>
        <v>702320.4411764706</v>
      </c>
      <c r="N151" s="259">
        <f t="shared" si="36"/>
        <v>835529.26470588241</v>
      </c>
      <c r="O151" s="259">
        <f t="shared" si="36"/>
        <v>968738.08823529421</v>
      </c>
      <c r="P151" s="259">
        <f t="shared" si="36"/>
        <v>1101946.911764706</v>
      </c>
      <c r="Q151" s="259">
        <f t="shared" si="36"/>
        <v>1577655.7352941178</v>
      </c>
      <c r="R151" s="259">
        <f t="shared" si="36"/>
        <v>1650864.5588235296</v>
      </c>
      <c r="S151" s="259">
        <f t="shared" si="36"/>
        <v>1839073.3823529414</v>
      </c>
      <c r="T151" s="259">
        <f t="shared" si="36"/>
        <v>1912282.2058823532</v>
      </c>
      <c r="U151" s="259">
        <f t="shared" si="36"/>
        <v>1985491.029411765</v>
      </c>
      <c r="V151" s="259">
        <f t="shared" si="36"/>
        <v>2089267.9779411769</v>
      </c>
      <c r="W151" s="259">
        <f t="shared" si="36"/>
        <v>2190184.7181372554</v>
      </c>
      <c r="X151" s="259">
        <f t="shared" si="36"/>
        <v>2263393.541666667</v>
      </c>
      <c r="Y151" s="259">
        <f t="shared" si="36"/>
        <v>2263393.541666667</v>
      </c>
      <c r="Z151" s="259">
        <f t="shared" si="36"/>
        <v>2833771.875</v>
      </c>
      <c r="AA151" s="259">
        <f t="shared" si="36"/>
        <v>2833771.875</v>
      </c>
      <c r="AB151" s="259">
        <f t="shared" si="36"/>
        <v>2833771.875</v>
      </c>
      <c r="AC151" s="259">
        <f t="shared" si="36"/>
        <v>3039320.8333333335</v>
      </c>
      <c r="AD151" s="259">
        <f t="shared" si="36"/>
        <v>3089775</v>
      </c>
      <c r="AE151" s="259">
        <f t="shared" si="36"/>
        <v>3089775</v>
      </c>
      <c r="AF151" s="259" t="str">
        <f t="shared" si="36"/>
        <v/>
      </c>
      <c r="AG151" s="259" t="str">
        <f t="shared" si="36"/>
        <v/>
      </c>
      <c r="AH151" s="259" t="str">
        <f t="shared" si="36"/>
        <v/>
      </c>
      <c r="AI151" s="259" t="str">
        <f t="shared" si="36"/>
        <v/>
      </c>
      <c r="AJ151" s="259" t="str">
        <f t="shared" si="36"/>
        <v/>
      </c>
      <c r="AK151" s="259" t="str">
        <f t="shared" si="36"/>
        <v/>
      </c>
      <c r="AL151" s="259" t="str">
        <f t="shared" si="36"/>
        <v/>
      </c>
      <c r="AM151" s="259" t="str">
        <f t="shared" ref="AM151:BM151" si="37">IF(AM117="","",IF(AM149&lt;=0,-AM149,0))</f>
        <v/>
      </c>
      <c r="AN151" s="259" t="str">
        <f t="shared" si="37"/>
        <v/>
      </c>
      <c r="AO151" s="259" t="str">
        <f t="shared" si="37"/>
        <v/>
      </c>
      <c r="AP151" s="259" t="str">
        <f t="shared" si="37"/>
        <v/>
      </c>
      <c r="AQ151" s="259" t="str">
        <f t="shared" si="37"/>
        <v/>
      </c>
      <c r="AR151" s="259" t="str">
        <f t="shared" si="37"/>
        <v/>
      </c>
      <c r="AS151" s="259" t="str">
        <f t="shared" si="37"/>
        <v/>
      </c>
      <c r="AT151" s="259" t="str">
        <f t="shared" si="37"/>
        <v/>
      </c>
      <c r="AU151" s="259" t="str">
        <f t="shared" si="37"/>
        <v/>
      </c>
      <c r="AV151" s="259" t="str">
        <f t="shared" si="37"/>
        <v/>
      </c>
      <c r="AW151" s="259" t="str">
        <f t="shared" si="37"/>
        <v/>
      </c>
      <c r="AX151" s="259" t="str">
        <f t="shared" si="37"/>
        <v/>
      </c>
      <c r="AY151" s="259" t="str">
        <f t="shared" si="37"/>
        <v/>
      </c>
      <c r="AZ151" s="259" t="str">
        <f t="shared" si="37"/>
        <v/>
      </c>
      <c r="BA151" s="259" t="str">
        <f t="shared" si="37"/>
        <v/>
      </c>
      <c r="BB151" s="259" t="str">
        <f t="shared" si="37"/>
        <v/>
      </c>
      <c r="BC151" s="259" t="str">
        <f t="shared" si="37"/>
        <v/>
      </c>
      <c r="BD151" s="259" t="str">
        <f t="shared" si="37"/>
        <v/>
      </c>
      <c r="BE151" s="259" t="str">
        <f t="shared" si="37"/>
        <v/>
      </c>
      <c r="BF151" s="259" t="str">
        <f t="shared" si="37"/>
        <v/>
      </c>
      <c r="BG151" s="259" t="str">
        <f t="shared" si="37"/>
        <v/>
      </c>
      <c r="BH151" s="259" t="str">
        <f t="shared" si="37"/>
        <v/>
      </c>
      <c r="BI151" s="259" t="str">
        <f t="shared" si="37"/>
        <v/>
      </c>
      <c r="BJ151" s="259" t="str">
        <f t="shared" si="37"/>
        <v/>
      </c>
      <c r="BK151" s="259" t="str">
        <f t="shared" si="37"/>
        <v/>
      </c>
      <c r="BL151" s="259" t="str">
        <f t="shared" si="37"/>
        <v/>
      </c>
      <c r="BM151" s="260" t="str">
        <f t="shared" si="37"/>
        <v/>
      </c>
    </row>
    <row r="152" spans="2:65" s="198" customFormat="1" ht="15.75" thickBot="1" x14ac:dyDescent="0.3">
      <c r="B152" s="208" t="s">
        <v>227</v>
      </c>
      <c r="C152" s="209"/>
      <c r="D152" s="209"/>
      <c r="E152" s="500"/>
      <c r="F152" s="259">
        <f>(F151*$C$112)/12</f>
        <v>484.56041666666738</v>
      </c>
      <c r="G152" s="259">
        <f t="shared" ref="G152:AL152" si="38">IF(G117="","",(G151*$C$112)/12+F152)</f>
        <v>969.12083333333476</v>
      </c>
      <c r="H152" s="259">
        <f t="shared" si="38"/>
        <v>1880.7327205882375</v>
      </c>
      <c r="I152" s="259">
        <f t="shared" si="38"/>
        <v>3219.3960784313754</v>
      </c>
      <c r="J152" s="259">
        <f t="shared" si="38"/>
        <v>4985.1109068627484</v>
      </c>
      <c r="K152" s="259">
        <f t="shared" si="38"/>
        <v>7527.8772058823561</v>
      </c>
      <c r="L152" s="259">
        <f t="shared" si="38"/>
        <v>10847.6949754902</v>
      </c>
      <c r="M152" s="259">
        <f t="shared" si="38"/>
        <v>14944.564215686278</v>
      </c>
      <c r="N152" s="259">
        <f t="shared" si="38"/>
        <v>19818.484926470592</v>
      </c>
      <c r="O152" s="259">
        <f t="shared" si="38"/>
        <v>25469.457107843144</v>
      </c>
      <c r="P152" s="259">
        <f t="shared" si="38"/>
        <v>31897.48075980393</v>
      </c>
      <c r="Q152" s="259">
        <f t="shared" si="38"/>
        <v>41100.472549019614</v>
      </c>
      <c r="R152" s="259">
        <f t="shared" si="38"/>
        <v>50730.51580882354</v>
      </c>
      <c r="S152" s="259">
        <f t="shared" si="38"/>
        <v>61458.443872549033</v>
      </c>
      <c r="T152" s="259">
        <f t="shared" si="38"/>
        <v>72613.423406862756</v>
      </c>
      <c r="U152" s="259">
        <f t="shared" si="38"/>
        <v>84195.454411764716</v>
      </c>
      <c r="V152" s="259">
        <f t="shared" si="38"/>
        <v>96382.850949754909</v>
      </c>
      <c r="W152" s="259">
        <f t="shared" si="38"/>
        <v>109158.92847222224</v>
      </c>
      <c r="X152" s="259">
        <f t="shared" si="38"/>
        <v>122362.05746527779</v>
      </c>
      <c r="Y152" s="259">
        <f t="shared" si="38"/>
        <v>135565.18645833334</v>
      </c>
      <c r="Z152" s="259">
        <f t="shared" si="38"/>
        <v>152095.52239583334</v>
      </c>
      <c r="AA152" s="259">
        <f t="shared" si="38"/>
        <v>168625.85833333334</v>
      </c>
      <c r="AB152" s="259">
        <f t="shared" si="38"/>
        <v>185156.19427083334</v>
      </c>
      <c r="AC152" s="259">
        <f t="shared" si="38"/>
        <v>202885.56579861112</v>
      </c>
      <c r="AD152" s="259">
        <f t="shared" si="38"/>
        <v>220909.25329861112</v>
      </c>
      <c r="AE152" s="259">
        <f t="shared" si="38"/>
        <v>238932.94079861112</v>
      </c>
      <c r="AF152" s="259" t="str">
        <f t="shared" si="38"/>
        <v/>
      </c>
      <c r="AG152" s="259" t="str">
        <f t="shared" si="38"/>
        <v/>
      </c>
      <c r="AH152" s="259" t="str">
        <f t="shared" si="38"/>
        <v/>
      </c>
      <c r="AI152" s="259" t="str">
        <f t="shared" si="38"/>
        <v/>
      </c>
      <c r="AJ152" s="259" t="str">
        <f t="shared" si="38"/>
        <v/>
      </c>
      <c r="AK152" s="259" t="str">
        <f t="shared" si="38"/>
        <v/>
      </c>
      <c r="AL152" s="259" t="str">
        <f t="shared" si="38"/>
        <v/>
      </c>
      <c r="AM152" s="259" t="str">
        <f t="shared" ref="AM152:BM152" si="39">IF(AM117="","",(AM151*$C$112)/12+AL152)</f>
        <v/>
      </c>
      <c r="AN152" s="259" t="str">
        <f t="shared" si="39"/>
        <v/>
      </c>
      <c r="AO152" s="259" t="str">
        <f t="shared" si="39"/>
        <v/>
      </c>
      <c r="AP152" s="259" t="str">
        <f t="shared" si="39"/>
        <v/>
      </c>
      <c r="AQ152" s="259" t="str">
        <f t="shared" si="39"/>
        <v/>
      </c>
      <c r="AR152" s="259" t="str">
        <f t="shared" si="39"/>
        <v/>
      </c>
      <c r="AS152" s="259" t="str">
        <f t="shared" si="39"/>
        <v/>
      </c>
      <c r="AT152" s="259" t="str">
        <f t="shared" si="39"/>
        <v/>
      </c>
      <c r="AU152" s="259" t="str">
        <f t="shared" si="39"/>
        <v/>
      </c>
      <c r="AV152" s="259" t="str">
        <f t="shared" si="39"/>
        <v/>
      </c>
      <c r="AW152" s="259" t="str">
        <f t="shared" si="39"/>
        <v/>
      </c>
      <c r="AX152" s="259" t="str">
        <f t="shared" si="39"/>
        <v/>
      </c>
      <c r="AY152" s="259" t="str">
        <f t="shared" si="39"/>
        <v/>
      </c>
      <c r="AZ152" s="259" t="str">
        <f t="shared" si="39"/>
        <v/>
      </c>
      <c r="BA152" s="259" t="str">
        <f t="shared" si="39"/>
        <v/>
      </c>
      <c r="BB152" s="259" t="str">
        <f t="shared" si="39"/>
        <v/>
      </c>
      <c r="BC152" s="259" t="str">
        <f t="shared" si="39"/>
        <v/>
      </c>
      <c r="BD152" s="259" t="str">
        <f t="shared" si="39"/>
        <v/>
      </c>
      <c r="BE152" s="259" t="str">
        <f t="shared" si="39"/>
        <v/>
      </c>
      <c r="BF152" s="259" t="str">
        <f t="shared" si="39"/>
        <v/>
      </c>
      <c r="BG152" s="259" t="str">
        <f t="shared" si="39"/>
        <v/>
      </c>
      <c r="BH152" s="259" t="str">
        <f t="shared" si="39"/>
        <v/>
      </c>
      <c r="BI152" s="259" t="str">
        <f t="shared" si="39"/>
        <v/>
      </c>
      <c r="BJ152" s="259" t="str">
        <f t="shared" si="39"/>
        <v/>
      </c>
      <c r="BK152" s="259" t="str">
        <f t="shared" si="39"/>
        <v/>
      </c>
      <c r="BL152" s="259" t="str">
        <f t="shared" si="39"/>
        <v/>
      </c>
      <c r="BM152" s="260" t="str">
        <f t="shared" si="39"/>
        <v/>
      </c>
    </row>
    <row r="153" spans="2:65" s="198" customFormat="1" ht="15.75" thickBot="1" x14ac:dyDescent="0.3">
      <c r="B153" s="524" t="s">
        <v>228</v>
      </c>
      <c r="C153" s="525"/>
      <c r="D153" s="526"/>
      <c r="E153" s="527"/>
      <c r="F153" s="528">
        <f>F151+F152</f>
        <v>83552.060416666791</v>
      </c>
      <c r="G153" s="528">
        <f t="shared" ref="G153:AL153" si="40">IF(G117="","",G151+G152)</f>
        <v>84036.620833333451</v>
      </c>
      <c r="H153" s="528">
        <f t="shared" si="40"/>
        <v>158157.05625000011</v>
      </c>
      <c r="I153" s="528">
        <f t="shared" si="40"/>
        <v>232704.54313725498</v>
      </c>
      <c r="J153" s="528">
        <f t="shared" si="40"/>
        <v>307679.08149509813</v>
      </c>
      <c r="K153" s="528">
        <f t="shared" si="40"/>
        <v>443430.67132352944</v>
      </c>
      <c r="L153" s="528">
        <f t="shared" si="40"/>
        <v>579959.31262254901</v>
      </c>
      <c r="M153" s="528">
        <f t="shared" si="40"/>
        <v>717265.00539215689</v>
      </c>
      <c r="N153" s="528">
        <f t="shared" si="40"/>
        <v>855347.74963235296</v>
      </c>
      <c r="O153" s="528">
        <f t="shared" si="40"/>
        <v>994207.54534313735</v>
      </c>
      <c r="P153" s="528">
        <f t="shared" si="40"/>
        <v>1133844.3925245099</v>
      </c>
      <c r="Q153" s="528">
        <f t="shared" si="40"/>
        <v>1618756.2078431374</v>
      </c>
      <c r="R153" s="528">
        <f t="shared" si="40"/>
        <v>1701595.0746323531</v>
      </c>
      <c r="S153" s="528">
        <f t="shared" si="40"/>
        <v>1900531.8262254905</v>
      </c>
      <c r="T153" s="528">
        <f t="shared" si="40"/>
        <v>1984895.6292892159</v>
      </c>
      <c r="U153" s="528">
        <f t="shared" si="40"/>
        <v>2069686.4838235297</v>
      </c>
      <c r="V153" s="528">
        <f t="shared" si="40"/>
        <v>2185650.8288909318</v>
      </c>
      <c r="W153" s="528">
        <f t="shared" si="40"/>
        <v>2299343.6466094777</v>
      </c>
      <c r="X153" s="528">
        <f t="shared" si="40"/>
        <v>2385755.5991319446</v>
      </c>
      <c r="Y153" s="528">
        <f t="shared" si="40"/>
        <v>2398958.7281250004</v>
      </c>
      <c r="Z153" s="528">
        <f t="shared" si="40"/>
        <v>2985867.3973958334</v>
      </c>
      <c r="AA153" s="528">
        <f t="shared" si="40"/>
        <v>3002397.7333333334</v>
      </c>
      <c r="AB153" s="528">
        <f t="shared" si="40"/>
        <v>3018928.0692708334</v>
      </c>
      <c r="AC153" s="528">
        <f t="shared" si="40"/>
        <v>3242206.3991319444</v>
      </c>
      <c r="AD153" s="528">
        <f t="shared" si="40"/>
        <v>3310684.2532986109</v>
      </c>
      <c r="AE153" s="528">
        <f t="shared" si="40"/>
        <v>3328707.9407986109</v>
      </c>
      <c r="AF153" s="528" t="str">
        <f t="shared" si="40"/>
        <v/>
      </c>
      <c r="AG153" s="528" t="str">
        <f t="shared" si="40"/>
        <v/>
      </c>
      <c r="AH153" s="528" t="str">
        <f t="shared" si="40"/>
        <v/>
      </c>
      <c r="AI153" s="528" t="str">
        <f t="shared" si="40"/>
        <v/>
      </c>
      <c r="AJ153" s="528" t="str">
        <f t="shared" si="40"/>
        <v/>
      </c>
      <c r="AK153" s="528" t="str">
        <f t="shared" si="40"/>
        <v/>
      </c>
      <c r="AL153" s="528" t="str">
        <f t="shared" si="40"/>
        <v/>
      </c>
      <c r="AM153" s="528" t="str">
        <f t="shared" ref="AM153:BM153" si="41">IF(AM117="","",AM151+AM152)</f>
        <v/>
      </c>
      <c r="AN153" s="528" t="str">
        <f t="shared" si="41"/>
        <v/>
      </c>
      <c r="AO153" s="528" t="str">
        <f t="shared" si="41"/>
        <v/>
      </c>
      <c r="AP153" s="528" t="str">
        <f t="shared" si="41"/>
        <v/>
      </c>
      <c r="AQ153" s="528" t="str">
        <f t="shared" si="41"/>
        <v/>
      </c>
      <c r="AR153" s="528" t="str">
        <f t="shared" si="41"/>
        <v/>
      </c>
      <c r="AS153" s="528" t="str">
        <f t="shared" si="41"/>
        <v/>
      </c>
      <c r="AT153" s="528" t="str">
        <f t="shared" si="41"/>
        <v/>
      </c>
      <c r="AU153" s="528" t="str">
        <f t="shared" si="41"/>
        <v/>
      </c>
      <c r="AV153" s="528" t="str">
        <f t="shared" si="41"/>
        <v/>
      </c>
      <c r="AW153" s="528" t="str">
        <f t="shared" si="41"/>
        <v/>
      </c>
      <c r="AX153" s="528" t="str">
        <f t="shared" si="41"/>
        <v/>
      </c>
      <c r="AY153" s="528" t="str">
        <f t="shared" si="41"/>
        <v/>
      </c>
      <c r="AZ153" s="528" t="str">
        <f t="shared" si="41"/>
        <v/>
      </c>
      <c r="BA153" s="528" t="str">
        <f t="shared" si="41"/>
        <v/>
      </c>
      <c r="BB153" s="528" t="str">
        <f t="shared" si="41"/>
        <v/>
      </c>
      <c r="BC153" s="528" t="str">
        <f t="shared" si="41"/>
        <v/>
      </c>
      <c r="BD153" s="528" t="str">
        <f t="shared" si="41"/>
        <v/>
      </c>
      <c r="BE153" s="528" t="str">
        <f t="shared" si="41"/>
        <v/>
      </c>
      <c r="BF153" s="528" t="str">
        <f t="shared" si="41"/>
        <v/>
      </c>
      <c r="BG153" s="528" t="str">
        <f t="shared" si="41"/>
        <v/>
      </c>
      <c r="BH153" s="528" t="str">
        <f t="shared" si="41"/>
        <v/>
      </c>
      <c r="BI153" s="528" t="str">
        <f t="shared" si="41"/>
        <v/>
      </c>
      <c r="BJ153" s="528" t="str">
        <f t="shared" si="41"/>
        <v/>
      </c>
      <c r="BK153" s="528" t="str">
        <f t="shared" si="41"/>
        <v/>
      </c>
      <c r="BL153" s="528" t="str">
        <f t="shared" si="41"/>
        <v/>
      </c>
      <c r="BM153" s="529" t="str">
        <f t="shared" si="41"/>
        <v/>
      </c>
    </row>
    <row r="154" spans="2:65" s="198" customFormat="1" x14ac:dyDescent="0.25">
      <c r="E154" s="34"/>
      <c r="F154" s="269"/>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c r="AC154" s="269"/>
      <c r="AD154" s="269"/>
      <c r="AE154" s="269"/>
      <c r="AF154" s="269"/>
      <c r="AG154" s="269"/>
      <c r="AH154" s="269"/>
      <c r="AI154" s="269"/>
      <c r="AJ154" s="269"/>
      <c r="AK154" s="269"/>
      <c r="AL154" s="269"/>
      <c r="AM154" s="251"/>
      <c r="AN154" s="251"/>
    </row>
    <row r="155" spans="2:65" s="198" customFormat="1" x14ac:dyDescent="0.25">
      <c r="E155" s="34"/>
    </row>
    <row r="156" spans="2:65" s="198" customFormat="1" x14ac:dyDescent="0.25">
      <c r="E156" s="34"/>
    </row>
    <row r="157" spans="2:65" s="198" customFormat="1" ht="12" customHeight="1" x14ac:dyDescent="0.25"/>
    <row r="158" spans="2:65" s="198" customFormat="1" ht="12" customHeight="1" x14ac:dyDescent="0.25">
      <c r="E158" s="34"/>
    </row>
    <row r="159" spans="2:65" s="198" customFormat="1" x14ac:dyDescent="0.25"/>
    <row r="160" spans="2:65" s="198" customFormat="1" x14ac:dyDescent="0.25"/>
    <row r="161" spans="14:14" s="198" customFormat="1" x14ac:dyDescent="0.25"/>
    <row r="162" spans="14:14" s="198" customFormat="1" x14ac:dyDescent="0.25"/>
    <row r="163" spans="14:14" s="198" customFormat="1" x14ac:dyDescent="0.25"/>
    <row r="164" spans="14:14" s="198" customFormat="1" x14ac:dyDescent="0.25"/>
    <row r="165" spans="14:14" s="198" customFormat="1" x14ac:dyDescent="0.25"/>
    <row r="166" spans="14:14" s="198" customFormat="1" hidden="1" x14ac:dyDescent="0.25"/>
    <row r="167" spans="14:14" s="198" customFormat="1" hidden="1" x14ac:dyDescent="0.25"/>
    <row r="168" spans="14:14" s="198" customFormat="1" hidden="1" x14ac:dyDescent="0.25"/>
    <row r="169" spans="14:14" s="198" customFormat="1" hidden="1" x14ac:dyDescent="0.25"/>
    <row r="170" spans="14:14" s="198" customFormat="1" hidden="1" x14ac:dyDescent="0.25"/>
    <row r="171" spans="14:14" s="198" customFormat="1" hidden="1" x14ac:dyDescent="0.25"/>
    <row r="172" spans="14:14" s="198" customFormat="1" hidden="1" x14ac:dyDescent="0.25"/>
    <row r="173" spans="14:14" s="198" customFormat="1" hidden="1" x14ac:dyDescent="0.25"/>
    <row r="174" spans="14:14" s="198" customFormat="1" hidden="1" x14ac:dyDescent="0.25"/>
    <row r="175" spans="14:14" s="198" customFormat="1" hidden="1" x14ac:dyDescent="0.25"/>
    <row r="176" spans="14:14" s="198" customFormat="1" hidden="1" x14ac:dyDescent="0.25">
      <c r="N176" s="284"/>
    </row>
    <row r="177" spans="2:14" s="198" customFormat="1" hidden="1" x14ac:dyDescent="0.25">
      <c r="N177" s="284"/>
    </row>
    <row r="178" spans="2:14" s="198" customFormat="1" hidden="1" x14ac:dyDescent="0.25">
      <c r="N178" s="284"/>
    </row>
    <row r="179" spans="2:14" s="198" customFormat="1" hidden="1" x14ac:dyDescent="0.25">
      <c r="N179" s="284"/>
    </row>
    <row r="180" spans="2:14" s="198" customFormat="1" hidden="1" x14ac:dyDescent="0.25"/>
    <row r="181" spans="2:14" s="198" customFormat="1" hidden="1" x14ac:dyDescent="0.25"/>
    <row r="182" spans="2:14" s="198" customFormat="1" hidden="1" x14ac:dyDescent="0.25"/>
    <row r="183" spans="2:14" s="198" customFormat="1" hidden="1" x14ac:dyDescent="0.25"/>
    <row r="184" spans="2:14" s="198" customFormat="1" x14ac:dyDescent="0.25"/>
    <row r="185" spans="2:14" s="198" customFormat="1" x14ac:dyDescent="0.25"/>
    <row r="186" spans="2:14" s="198" customFormat="1" x14ac:dyDescent="0.25"/>
    <row r="187" spans="2:14" s="198" customFormat="1" x14ac:dyDescent="0.25"/>
    <row r="188" spans="2:14" s="198" customFormat="1" x14ac:dyDescent="0.25">
      <c r="B188" s="71"/>
    </row>
    <row r="189" spans="2:14" s="198" customFormat="1" x14ac:dyDescent="0.25"/>
    <row r="190" spans="2:14" s="198" customFormat="1" x14ac:dyDescent="0.25"/>
    <row r="191" spans="2:14" s="198" customFormat="1" x14ac:dyDescent="0.25"/>
    <row r="192" spans="2:14" s="198" customFormat="1" x14ac:dyDescent="0.25"/>
    <row r="193" spans="2:9" s="198" customFormat="1" x14ac:dyDescent="0.25"/>
    <row r="194" spans="2:9" s="198" customFormat="1" x14ac:dyDescent="0.25"/>
    <row r="195" spans="2:9" s="198" customFormat="1" x14ac:dyDescent="0.25"/>
    <row r="196" spans="2:9" s="198" customFormat="1" x14ac:dyDescent="0.25"/>
    <row r="197" spans="2:9" s="198" customFormat="1" x14ac:dyDescent="0.25"/>
    <row r="198" spans="2:9" s="198" customFormat="1" x14ac:dyDescent="0.25"/>
    <row r="199" spans="2:9" s="198" customFormat="1" x14ac:dyDescent="0.25">
      <c r="I199" s="226"/>
    </row>
    <row r="200" spans="2:9" s="198" customFormat="1" x14ac:dyDescent="0.25"/>
    <row r="201" spans="2:9" s="198" customFormat="1" x14ac:dyDescent="0.25"/>
    <row r="202" spans="2:9" s="198" customFormat="1" x14ac:dyDescent="0.25"/>
    <row r="203" spans="2:9" s="198" customFormat="1" x14ac:dyDescent="0.25"/>
    <row r="204" spans="2:9" s="198" customFormat="1" x14ac:dyDescent="0.25"/>
    <row r="205" spans="2:9" s="198" customFormat="1" x14ac:dyDescent="0.25">
      <c r="B205" s="71"/>
      <c r="D205" s="284"/>
      <c r="I205" s="226"/>
    </row>
    <row r="206" spans="2:9" s="198" customFormat="1" x14ac:dyDescent="0.25">
      <c r="B206" s="822"/>
      <c r="C206" s="822"/>
      <c r="D206" s="822"/>
      <c r="E206" s="822"/>
      <c r="I206" s="226"/>
    </row>
    <row r="207" spans="2:9" s="198" customFormat="1" x14ac:dyDescent="0.25">
      <c r="B207" s="13"/>
      <c r="C207" s="13"/>
      <c r="D207" s="311"/>
      <c r="E207" s="311"/>
      <c r="I207" s="226"/>
    </row>
    <row r="208" spans="2:9" s="198" customFormat="1" x14ac:dyDescent="0.25">
      <c r="D208" s="312"/>
      <c r="I208" s="226"/>
    </row>
    <row r="209" spans="4:9" s="198" customFormat="1" x14ac:dyDescent="0.25">
      <c r="D209" s="34"/>
      <c r="I209" s="226"/>
    </row>
    <row r="210" spans="4:9" s="198" customFormat="1" x14ac:dyDescent="0.25">
      <c r="D210" s="312"/>
      <c r="I210" s="226"/>
    </row>
    <row r="211" spans="4:9" s="198" customFormat="1" x14ac:dyDescent="0.25">
      <c r="D211" s="312"/>
      <c r="I211" s="226"/>
    </row>
    <row r="212" spans="4:9" s="198" customFormat="1" x14ac:dyDescent="0.25">
      <c r="D212" s="312"/>
      <c r="I212" s="226"/>
    </row>
    <row r="213" spans="4:9" s="198" customFormat="1" x14ac:dyDescent="0.25"/>
    <row r="214" spans="4:9" s="198" customFormat="1" x14ac:dyDescent="0.25"/>
    <row r="215" spans="4:9" s="198" customFormat="1" x14ac:dyDescent="0.25">
      <c r="D215" s="34"/>
      <c r="I215" s="226"/>
    </row>
    <row r="216" spans="4:9" s="198" customFormat="1" x14ac:dyDescent="0.25">
      <c r="D216" s="34"/>
      <c r="I216" s="226"/>
    </row>
    <row r="217" spans="4:9" s="198" customFormat="1" x14ac:dyDescent="0.25">
      <c r="D217" s="312"/>
      <c r="H217" s="226"/>
      <c r="I217" s="226"/>
    </row>
    <row r="218" spans="4:9" s="198" customFormat="1" x14ac:dyDescent="0.25">
      <c r="D218" s="34"/>
      <c r="H218" s="312"/>
      <c r="I218" s="312"/>
    </row>
    <row r="219" spans="4:9" s="198" customFormat="1" x14ac:dyDescent="0.25">
      <c r="D219" s="34"/>
      <c r="H219" s="271"/>
      <c r="I219" s="271"/>
    </row>
    <row r="220" spans="4:9" s="198" customFormat="1" x14ac:dyDescent="0.25">
      <c r="D220" s="34"/>
      <c r="H220" s="271"/>
      <c r="I220" s="226"/>
    </row>
    <row r="221" spans="4:9" s="198" customFormat="1" x14ac:dyDescent="0.25">
      <c r="D221" s="34"/>
      <c r="H221" s="271"/>
    </row>
    <row r="222" spans="4:9" s="198" customFormat="1" x14ac:dyDescent="0.25">
      <c r="D222" s="34"/>
      <c r="H222" s="272"/>
      <c r="I222" s="44"/>
    </row>
    <row r="223" spans="4:9" s="198" customFormat="1" x14ac:dyDescent="0.25">
      <c r="D223" s="34"/>
      <c r="H223" s="272"/>
      <c r="I223" s="44"/>
    </row>
    <row r="224" spans="4:9" s="198" customFormat="1" x14ac:dyDescent="0.25">
      <c r="H224" s="312"/>
      <c r="I224" s="312"/>
    </row>
    <row r="225" spans="8:66" s="198" customFormat="1" x14ac:dyDescent="0.25">
      <c r="H225" s="270"/>
    </row>
    <row r="226" spans="8:66" s="198" customFormat="1" x14ac:dyDescent="0.25"/>
    <row r="227" spans="8:66" s="198" customFormat="1" x14ac:dyDescent="0.25"/>
    <row r="228" spans="8:66" s="198" customFormat="1" x14ac:dyDescent="0.25"/>
    <row r="229" spans="8:66" s="198" customFormat="1" x14ac:dyDescent="0.25"/>
    <row r="230" spans="8:66" s="198" customFormat="1" x14ac:dyDescent="0.25"/>
    <row r="231" spans="8:66" s="198" customFormat="1" x14ac:dyDescent="0.25">
      <c r="BM231" s="200"/>
      <c r="BN231" s="200"/>
    </row>
    <row r="232" spans="8:66" s="198" customFormat="1" x14ac:dyDescent="0.25">
      <c r="BM232" s="200"/>
      <c r="BN232" s="200"/>
    </row>
    <row r="233" spans="8:66" s="198" customFormat="1" x14ac:dyDescent="0.25">
      <c r="BM233" s="200"/>
      <c r="BN233" s="200"/>
    </row>
    <row r="234" spans="8:66" s="198" customFormat="1" x14ac:dyDescent="0.25">
      <c r="BM234" s="200"/>
      <c r="BN234" s="200"/>
    </row>
    <row r="235" spans="8:66" s="198" customFormat="1" x14ac:dyDescent="0.25">
      <c r="BM235" s="200"/>
      <c r="BN235" s="200"/>
    </row>
    <row r="236" spans="8:66" s="198" customFormat="1" x14ac:dyDescent="0.25">
      <c r="BM236" s="200"/>
      <c r="BN236" s="200"/>
    </row>
    <row r="237" spans="8:66" s="198" customFormat="1" x14ac:dyDescent="0.25">
      <c r="BM237" s="200"/>
      <c r="BN237" s="200"/>
    </row>
    <row r="238" spans="8:66" s="198" customFormat="1" x14ac:dyDescent="0.25">
      <c r="BM238" s="200"/>
      <c r="BN238" s="200"/>
    </row>
    <row r="239" spans="8:66" s="198" customFormat="1" x14ac:dyDescent="0.25">
      <c r="BM239" s="200"/>
      <c r="BN239" s="200"/>
    </row>
    <row r="240" spans="8:66" s="198" customFormat="1" x14ac:dyDescent="0.25">
      <c r="BM240" s="200"/>
      <c r="BN240" s="200"/>
    </row>
    <row r="241" spans="65:66" s="198" customFormat="1" x14ac:dyDescent="0.25">
      <c r="BM241" s="200"/>
      <c r="BN241" s="200"/>
    </row>
    <row r="242" spans="65:66" s="198" customFormat="1" x14ac:dyDescent="0.25">
      <c r="BM242" s="200"/>
      <c r="BN242" s="200"/>
    </row>
    <row r="243" spans="65:66" s="198" customFormat="1" x14ac:dyDescent="0.25">
      <c r="BM243" s="200"/>
      <c r="BN243" s="200"/>
    </row>
    <row r="244" spans="65:66" s="198" customFormat="1" x14ac:dyDescent="0.25">
      <c r="BM244" s="200"/>
      <c r="BN244" s="200"/>
    </row>
    <row r="245" spans="65:66" s="198" customFormat="1" x14ac:dyDescent="0.25">
      <c r="BM245" s="200"/>
      <c r="BN245" s="200"/>
    </row>
    <row r="246" spans="65:66" s="198" customFormat="1" x14ac:dyDescent="0.25">
      <c r="BM246" s="200"/>
      <c r="BN246" s="200"/>
    </row>
    <row r="247" spans="65:66" s="198" customFormat="1" x14ac:dyDescent="0.25">
      <c r="BM247" s="200"/>
      <c r="BN247" s="200"/>
    </row>
    <row r="248" spans="65:66" s="198" customFormat="1" x14ac:dyDescent="0.25">
      <c r="BM248" s="200"/>
      <c r="BN248" s="200"/>
    </row>
    <row r="249" spans="65:66" s="198" customFormat="1" x14ac:dyDescent="0.25">
      <c r="BM249" s="200"/>
      <c r="BN249" s="200"/>
    </row>
    <row r="250" spans="65:66" s="198" customFormat="1" x14ac:dyDescent="0.25">
      <c r="BM250" s="200"/>
      <c r="BN250" s="200"/>
    </row>
    <row r="251" spans="65:66" s="198" customFormat="1" x14ac:dyDescent="0.25">
      <c r="BM251" s="200"/>
      <c r="BN251" s="200"/>
    </row>
    <row r="252" spans="65:66" s="198" customFormat="1" x14ac:dyDescent="0.25">
      <c r="BM252" s="200"/>
      <c r="BN252" s="200"/>
    </row>
    <row r="253" spans="65:66" s="198" customFormat="1" x14ac:dyDescent="0.25">
      <c r="BM253" s="200"/>
      <c r="BN253" s="200"/>
    </row>
    <row r="254" spans="65:66" s="198" customFormat="1" x14ac:dyDescent="0.25">
      <c r="BM254" s="200"/>
      <c r="BN254" s="200"/>
    </row>
    <row r="255" spans="65:66" s="198" customFormat="1" x14ac:dyDescent="0.25">
      <c r="BM255" s="200"/>
      <c r="BN255" s="200"/>
    </row>
    <row r="256" spans="65:66" s="198" customFormat="1" x14ac:dyDescent="0.25">
      <c r="BM256" s="200"/>
      <c r="BN256" s="200"/>
    </row>
    <row r="257" spans="65:66" s="198" customFormat="1" x14ac:dyDescent="0.25">
      <c r="BM257" s="200"/>
      <c r="BN257" s="200"/>
    </row>
    <row r="258" spans="65:66" s="198" customFormat="1" x14ac:dyDescent="0.25">
      <c r="BM258" s="200"/>
      <c r="BN258" s="200"/>
    </row>
    <row r="259" spans="65:66" s="198" customFormat="1" x14ac:dyDescent="0.25">
      <c r="BM259" s="200"/>
      <c r="BN259" s="200"/>
    </row>
    <row r="260" spans="65:66" s="198" customFormat="1" x14ac:dyDescent="0.25">
      <c r="BM260" s="200"/>
      <c r="BN260" s="200"/>
    </row>
    <row r="261" spans="65:66" s="198" customFormat="1" x14ac:dyDescent="0.25">
      <c r="BM261" s="200"/>
      <c r="BN261" s="200"/>
    </row>
    <row r="262" spans="65:66" s="198" customFormat="1" x14ac:dyDescent="0.25">
      <c r="BM262" s="200"/>
      <c r="BN262" s="200"/>
    </row>
    <row r="263" spans="65:66" s="198" customFormat="1" x14ac:dyDescent="0.25">
      <c r="BM263" s="200"/>
      <c r="BN263" s="200"/>
    </row>
    <row r="264" spans="65:66" s="198" customFormat="1" x14ac:dyDescent="0.25">
      <c r="BM264" s="200"/>
      <c r="BN264" s="200"/>
    </row>
    <row r="265" spans="65:66" s="198" customFormat="1" x14ac:dyDescent="0.25">
      <c r="BM265" s="200"/>
      <c r="BN265" s="200"/>
    </row>
    <row r="266" spans="65:66" s="198" customFormat="1" x14ac:dyDescent="0.25">
      <c r="BM266" s="200"/>
      <c r="BN266" s="200"/>
    </row>
    <row r="267" spans="65:66" s="198" customFormat="1" x14ac:dyDescent="0.25">
      <c r="BM267" s="200"/>
      <c r="BN267" s="200"/>
    </row>
    <row r="268" spans="65:66" s="198" customFormat="1" x14ac:dyDescent="0.25">
      <c r="BM268" s="200"/>
      <c r="BN268" s="200"/>
    </row>
    <row r="269" spans="65:66" s="198" customFormat="1" x14ac:dyDescent="0.25">
      <c r="BM269" s="200"/>
      <c r="BN269" s="200"/>
    </row>
    <row r="270" spans="65:66" s="198" customFormat="1" x14ac:dyDescent="0.25">
      <c r="BM270" s="200"/>
      <c r="BN270" s="200"/>
    </row>
    <row r="271" spans="65:66" s="198" customFormat="1" x14ac:dyDescent="0.25">
      <c r="BM271" s="200"/>
      <c r="BN271" s="200"/>
    </row>
    <row r="272" spans="65:66" s="198" customFormat="1" x14ac:dyDescent="0.25">
      <c r="BM272" s="200"/>
      <c r="BN272" s="200"/>
    </row>
    <row r="273" spans="65:66" s="198" customFormat="1" x14ac:dyDescent="0.25">
      <c r="BM273" s="200"/>
      <c r="BN273" s="200"/>
    </row>
    <row r="274" spans="65:66" s="198" customFormat="1" x14ac:dyDescent="0.25">
      <c r="BM274" s="200"/>
      <c r="BN274" s="200"/>
    </row>
    <row r="275" spans="65:66" s="198" customFormat="1" x14ac:dyDescent="0.25">
      <c r="BM275" s="200"/>
      <c r="BN275" s="200"/>
    </row>
    <row r="276" spans="65:66" s="198" customFormat="1" x14ac:dyDescent="0.25">
      <c r="BM276" s="200"/>
      <c r="BN276" s="200"/>
    </row>
    <row r="277" spans="65:66" s="198" customFormat="1" x14ac:dyDescent="0.25">
      <c r="BM277" s="200"/>
      <c r="BN277" s="200"/>
    </row>
    <row r="278" spans="65:66" s="198" customFormat="1" x14ac:dyDescent="0.25">
      <c r="BM278" s="200"/>
      <c r="BN278" s="200"/>
    </row>
    <row r="279" spans="65:66" s="198" customFormat="1" x14ac:dyDescent="0.25">
      <c r="BM279" s="200"/>
      <c r="BN279" s="200"/>
    </row>
    <row r="280" spans="65:66" s="198" customFormat="1" x14ac:dyDescent="0.25">
      <c r="BM280" s="200"/>
      <c r="BN280" s="200"/>
    </row>
    <row r="281" spans="65:66" s="198" customFormat="1" x14ac:dyDescent="0.25">
      <c r="BM281" s="200"/>
      <c r="BN281" s="200"/>
    </row>
    <row r="282" spans="65:66" s="198" customFormat="1" x14ac:dyDescent="0.25">
      <c r="BM282" s="200"/>
      <c r="BN282" s="200"/>
    </row>
    <row r="283" spans="65:66" s="198" customFormat="1" x14ac:dyDescent="0.25">
      <c r="BM283" s="200"/>
      <c r="BN283" s="200"/>
    </row>
    <row r="284" spans="65:66" s="198" customFormat="1" x14ac:dyDescent="0.25">
      <c r="BM284" s="200"/>
      <c r="BN284" s="200"/>
    </row>
    <row r="285" spans="65:66" s="198" customFormat="1" x14ac:dyDescent="0.25">
      <c r="BM285" s="200"/>
      <c r="BN285" s="200"/>
    </row>
    <row r="286" spans="65:66" s="198" customFormat="1" x14ac:dyDescent="0.25">
      <c r="BM286" s="200"/>
      <c r="BN286" s="200"/>
    </row>
    <row r="287" spans="65:66" s="198" customFormat="1" x14ac:dyDescent="0.25">
      <c r="BM287" s="200"/>
      <c r="BN287" s="200"/>
    </row>
    <row r="288" spans="65:66" s="198" customFormat="1" x14ac:dyDescent="0.25">
      <c r="BM288" s="200"/>
      <c r="BN288" s="200"/>
    </row>
    <row r="289" spans="65:66" s="198" customFormat="1" x14ac:dyDescent="0.25">
      <c r="BM289" s="200"/>
      <c r="BN289" s="200"/>
    </row>
    <row r="290" spans="65:66" s="198" customFormat="1" x14ac:dyDescent="0.25">
      <c r="BM290" s="200"/>
      <c r="BN290" s="200"/>
    </row>
    <row r="291" spans="65:66" s="198" customFormat="1" x14ac:dyDescent="0.25">
      <c r="BM291" s="200"/>
      <c r="BN291" s="200"/>
    </row>
    <row r="292" spans="65:66" s="198" customFormat="1" x14ac:dyDescent="0.25">
      <c r="BM292" s="200"/>
      <c r="BN292" s="200"/>
    </row>
    <row r="293" spans="65:66" s="198" customFormat="1" x14ac:dyDescent="0.25">
      <c r="BM293" s="200"/>
      <c r="BN293" s="200"/>
    </row>
    <row r="294" spans="65:66" s="198" customFormat="1" x14ac:dyDescent="0.25">
      <c r="BM294" s="200"/>
      <c r="BN294" s="200"/>
    </row>
    <row r="295" spans="65:66" s="198" customFormat="1" x14ac:dyDescent="0.25">
      <c r="BM295" s="200"/>
      <c r="BN295" s="200"/>
    </row>
    <row r="296" spans="65:66" s="198" customFormat="1" x14ac:dyDescent="0.25">
      <c r="BM296" s="200"/>
      <c r="BN296" s="200"/>
    </row>
    <row r="297" spans="65:66" s="198" customFormat="1" x14ac:dyDescent="0.25">
      <c r="BM297" s="200"/>
      <c r="BN297" s="200"/>
    </row>
    <row r="298" spans="65:66" s="198" customFormat="1" x14ac:dyDescent="0.25">
      <c r="BM298" s="200"/>
      <c r="BN298" s="200"/>
    </row>
    <row r="299" spans="65:66" s="198" customFormat="1" x14ac:dyDescent="0.25">
      <c r="BM299" s="200"/>
      <c r="BN299" s="200"/>
    </row>
    <row r="300" spans="65:66" s="198" customFormat="1" x14ac:dyDescent="0.25">
      <c r="BM300" s="200"/>
      <c r="BN300" s="200"/>
    </row>
    <row r="301" spans="65:66" s="198" customFormat="1" x14ac:dyDescent="0.25">
      <c r="BM301" s="200"/>
      <c r="BN301" s="200"/>
    </row>
    <row r="302" spans="65:66" s="198" customFormat="1" x14ac:dyDescent="0.25">
      <c r="BM302" s="200"/>
      <c r="BN302" s="200"/>
    </row>
    <row r="303" spans="65:66" s="198" customFormat="1" x14ac:dyDescent="0.25">
      <c r="BM303" s="200"/>
      <c r="BN303" s="200"/>
    </row>
    <row r="304" spans="65:66" s="198" customFormat="1" x14ac:dyDescent="0.25">
      <c r="BM304" s="200"/>
      <c r="BN304" s="200"/>
    </row>
    <row r="305" spans="65:66" s="198" customFormat="1" x14ac:dyDescent="0.25">
      <c r="BM305" s="200"/>
      <c r="BN305" s="200"/>
    </row>
    <row r="306" spans="65:66" s="198" customFormat="1" x14ac:dyDescent="0.25">
      <c r="BM306" s="200"/>
      <c r="BN306" s="200"/>
    </row>
    <row r="307" spans="65:66" s="198" customFormat="1" x14ac:dyDescent="0.25">
      <c r="BM307" s="200"/>
      <c r="BN307" s="200"/>
    </row>
    <row r="308" spans="65:66" s="198" customFormat="1" x14ac:dyDescent="0.25">
      <c r="BM308" s="200"/>
      <c r="BN308" s="200"/>
    </row>
    <row r="309" spans="65:66" s="198" customFormat="1" x14ac:dyDescent="0.25">
      <c r="BM309" s="200"/>
      <c r="BN309" s="200"/>
    </row>
    <row r="310" spans="65:66" s="198" customFormat="1" x14ac:dyDescent="0.25">
      <c r="BM310" s="200"/>
      <c r="BN310" s="200"/>
    </row>
    <row r="311" spans="65:66" s="198" customFormat="1" x14ac:dyDescent="0.25">
      <c r="BM311" s="200"/>
      <c r="BN311" s="200"/>
    </row>
    <row r="312" spans="65:66" s="198" customFormat="1" x14ac:dyDescent="0.25">
      <c r="BM312" s="200"/>
      <c r="BN312" s="200"/>
    </row>
    <row r="313" spans="65:66" s="198" customFormat="1" x14ac:dyDescent="0.25">
      <c r="BM313" s="200"/>
      <c r="BN313" s="200"/>
    </row>
    <row r="314" spans="65:66" s="198" customFormat="1" x14ac:dyDescent="0.25">
      <c r="BM314" s="200"/>
      <c r="BN314" s="200"/>
    </row>
    <row r="315" spans="65:66" s="198" customFormat="1" x14ac:dyDescent="0.25">
      <c r="BM315" s="200"/>
      <c r="BN315" s="200"/>
    </row>
    <row r="316" spans="65:66" s="198" customFormat="1" x14ac:dyDescent="0.25">
      <c r="BM316" s="200"/>
      <c r="BN316" s="200"/>
    </row>
    <row r="317" spans="65:66" s="198" customFormat="1" x14ac:dyDescent="0.25">
      <c r="BM317" s="200"/>
      <c r="BN317" s="200"/>
    </row>
    <row r="318" spans="65:66" s="198" customFormat="1" x14ac:dyDescent="0.25">
      <c r="BM318" s="200"/>
      <c r="BN318" s="200"/>
    </row>
    <row r="319" spans="65:66" s="198" customFormat="1" x14ac:dyDescent="0.25">
      <c r="BM319" s="200"/>
      <c r="BN319" s="200"/>
    </row>
    <row r="320" spans="65:66" s="198" customFormat="1" x14ac:dyDescent="0.25">
      <c r="BM320" s="200"/>
      <c r="BN320" s="200"/>
    </row>
    <row r="321" spans="65:66" s="198" customFormat="1" x14ac:dyDescent="0.25">
      <c r="BM321" s="200"/>
      <c r="BN321" s="200"/>
    </row>
    <row r="322" spans="65:66" s="198" customFormat="1" x14ac:dyDescent="0.25">
      <c r="BM322" s="200"/>
      <c r="BN322" s="200"/>
    </row>
    <row r="323" spans="65:66" s="198" customFormat="1" x14ac:dyDescent="0.25">
      <c r="BM323" s="200"/>
      <c r="BN323" s="200"/>
    </row>
    <row r="324" spans="65:66" s="198" customFormat="1" x14ac:dyDescent="0.25">
      <c r="BM324" s="200"/>
      <c r="BN324" s="200"/>
    </row>
    <row r="325" spans="65:66" s="198" customFormat="1" x14ac:dyDescent="0.25">
      <c r="BM325" s="200"/>
      <c r="BN325" s="200"/>
    </row>
    <row r="326" spans="65:66" s="198" customFormat="1" x14ac:dyDescent="0.25">
      <c r="BM326" s="200"/>
      <c r="BN326" s="200"/>
    </row>
    <row r="327" spans="65:66" s="198" customFormat="1" x14ac:dyDescent="0.25">
      <c r="BM327" s="200"/>
      <c r="BN327" s="200"/>
    </row>
    <row r="328" spans="65:66" s="198" customFormat="1" x14ac:dyDescent="0.25">
      <c r="BM328" s="200"/>
      <c r="BN328" s="200"/>
    </row>
    <row r="329" spans="65:66" s="198" customFormat="1" x14ac:dyDescent="0.25">
      <c r="BM329" s="200"/>
      <c r="BN329" s="200"/>
    </row>
    <row r="330" spans="65:66" s="198" customFormat="1" x14ac:dyDescent="0.25">
      <c r="BM330" s="200"/>
      <c r="BN330" s="200"/>
    </row>
    <row r="331" spans="65:66" s="198" customFormat="1" x14ac:dyDescent="0.25">
      <c r="BM331" s="200"/>
      <c r="BN331" s="200"/>
    </row>
    <row r="332" spans="65:66" s="198" customFormat="1" x14ac:dyDescent="0.25">
      <c r="BM332" s="200"/>
      <c r="BN332" s="200"/>
    </row>
    <row r="333" spans="65:66" s="198" customFormat="1" x14ac:dyDescent="0.25">
      <c r="BM333" s="200"/>
      <c r="BN333" s="200"/>
    </row>
    <row r="334" spans="65:66" s="198" customFormat="1" x14ac:dyDescent="0.25">
      <c r="BM334" s="200"/>
      <c r="BN334" s="200"/>
    </row>
    <row r="335" spans="65:66" s="198" customFormat="1" x14ac:dyDescent="0.25">
      <c r="BM335" s="200"/>
      <c r="BN335" s="200"/>
    </row>
    <row r="336" spans="65:66" s="198" customFormat="1" x14ac:dyDescent="0.25">
      <c r="BM336" s="200"/>
      <c r="BN336" s="200"/>
    </row>
    <row r="337" spans="65:66" s="198" customFormat="1" x14ac:dyDescent="0.25">
      <c r="BM337" s="200"/>
      <c r="BN337" s="200"/>
    </row>
    <row r="338" spans="65:66" s="198" customFormat="1" x14ac:dyDescent="0.25">
      <c r="BM338" s="200"/>
      <c r="BN338" s="200"/>
    </row>
    <row r="339" spans="65:66" s="198" customFormat="1" x14ac:dyDescent="0.25">
      <c r="BM339" s="200"/>
      <c r="BN339" s="200"/>
    </row>
    <row r="340" spans="65:66" s="198" customFormat="1" x14ac:dyDescent="0.25">
      <c r="BM340" s="200"/>
      <c r="BN340" s="200"/>
    </row>
    <row r="341" spans="65:66" s="198" customFormat="1" x14ac:dyDescent="0.25">
      <c r="BM341" s="200"/>
      <c r="BN341" s="200"/>
    </row>
    <row r="342" spans="65:66" s="198" customFormat="1" x14ac:dyDescent="0.25">
      <c r="BM342" s="200"/>
      <c r="BN342" s="200"/>
    </row>
    <row r="343" spans="65:66" s="198" customFormat="1" x14ac:dyDescent="0.25">
      <c r="BM343" s="200"/>
      <c r="BN343" s="200"/>
    </row>
    <row r="344" spans="65:66" s="198" customFormat="1" x14ac:dyDescent="0.25">
      <c r="BM344" s="200"/>
      <c r="BN344" s="200"/>
    </row>
    <row r="345" spans="65:66" s="198" customFormat="1" x14ac:dyDescent="0.25">
      <c r="BM345" s="200"/>
      <c r="BN345" s="200"/>
    </row>
    <row r="346" spans="65:66" s="198" customFormat="1" x14ac:dyDescent="0.25">
      <c r="BM346" s="200"/>
      <c r="BN346" s="200"/>
    </row>
    <row r="347" spans="65:66" s="198" customFormat="1" x14ac:dyDescent="0.25">
      <c r="BM347" s="200"/>
      <c r="BN347" s="200"/>
    </row>
    <row r="348" spans="65:66" s="198" customFormat="1" x14ac:dyDescent="0.25">
      <c r="BM348" s="200"/>
      <c r="BN348" s="200"/>
    </row>
    <row r="349" spans="65:66" s="198" customFormat="1" x14ac:dyDescent="0.25">
      <c r="BM349" s="200"/>
      <c r="BN349" s="200"/>
    </row>
    <row r="350" spans="65:66" s="198" customFormat="1" x14ac:dyDescent="0.25">
      <c r="BM350" s="200"/>
      <c r="BN350" s="200"/>
    </row>
    <row r="351" spans="65:66" s="198" customFormat="1" x14ac:dyDescent="0.25">
      <c r="BM351" s="200"/>
      <c r="BN351" s="200"/>
    </row>
    <row r="352" spans="65:66" s="198" customFormat="1" x14ac:dyDescent="0.25">
      <c r="BM352" s="200"/>
      <c r="BN352" s="200"/>
    </row>
    <row r="353" spans="65:66" s="198" customFormat="1" x14ac:dyDescent="0.25">
      <c r="BM353" s="200"/>
      <c r="BN353" s="200"/>
    </row>
    <row r="354" spans="65:66" s="198" customFormat="1" x14ac:dyDescent="0.25">
      <c r="BM354" s="200"/>
      <c r="BN354" s="200"/>
    </row>
    <row r="355" spans="65:66" s="198" customFormat="1" x14ac:dyDescent="0.25">
      <c r="BM355" s="200"/>
      <c r="BN355" s="200"/>
    </row>
    <row r="356" spans="65:66" s="198" customFormat="1" x14ac:dyDescent="0.25">
      <c r="BM356" s="200"/>
      <c r="BN356" s="200"/>
    </row>
    <row r="357" spans="65:66" s="198" customFormat="1" x14ac:dyDescent="0.25">
      <c r="BM357" s="200"/>
      <c r="BN357" s="200"/>
    </row>
    <row r="358" spans="65:66" s="198" customFormat="1" x14ac:dyDescent="0.25">
      <c r="BM358" s="200"/>
      <c r="BN358" s="200"/>
    </row>
    <row r="359" spans="65:66" s="198" customFormat="1" x14ac:dyDescent="0.25">
      <c r="BM359" s="200"/>
      <c r="BN359" s="200"/>
    </row>
    <row r="360" spans="65:66" s="198" customFormat="1" x14ac:dyDescent="0.25">
      <c r="BM360" s="200"/>
      <c r="BN360" s="200"/>
    </row>
    <row r="361" spans="65:66" s="198" customFormat="1" x14ac:dyDescent="0.25">
      <c r="BM361" s="200"/>
      <c r="BN361" s="200"/>
    </row>
    <row r="362" spans="65:66" s="198" customFormat="1" x14ac:dyDescent="0.25">
      <c r="BM362" s="200"/>
      <c r="BN362" s="200"/>
    </row>
    <row r="363" spans="65:66" s="198" customFormat="1" x14ac:dyDescent="0.25">
      <c r="BM363" s="200"/>
      <c r="BN363" s="200"/>
    </row>
    <row r="364" spans="65:66" s="198" customFormat="1" x14ac:dyDescent="0.25">
      <c r="BM364" s="200"/>
      <c r="BN364" s="200"/>
    </row>
    <row r="365" spans="65:66" s="198" customFormat="1" x14ac:dyDescent="0.25">
      <c r="BM365" s="200"/>
      <c r="BN365" s="200"/>
    </row>
    <row r="366" spans="65:66" s="198" customFormat="1" x14ac:dyDescent="0.25">
      <c r="BM366" s="200"/>
      <c r="BN366" s="200"/>
    </row>
    <row r="367" spans="65:66" s="198" customFormat="1" x14ac:dyDescent="0.25">
      <c r="BM367" s="200"/>
      <c r="BN367" s="200"/>
    </row>
    <row r="368" spans="65:66" s="198" customFormat="1" x14ac:dyDescent="0.25">
      <c r="BM368" s="200"/>
      <c r="BN368" s="200"/>
    </row>
    <row r="369" spans="65:66" s="198" customFormat="1" x14ac:dyDescent="0.25">
      <c r="BM369" s="200"/>
      <c r="BN369" s="200"/>
    </row>
    <row r="370" spans="65:66" s="198" customFormat="1" x14ac:dyDescent="0.25">
      <c r="BM370" s="200"/>
      <c r="BN370" s="200"/>
    </row>
    <row r="371" spans="65:66" s="198" customFormat="1" x14ac:dyDescent="0.25">
      <c r="BM371" s="200"/>
      <c r="BN371" s="200"/>
    </row>
    <row r="372" spans="65:66" s="198" customFormat="1" x14ac:dyDescent="0.25">
      <c r="BM372" s="200"/>
      <c r="BN372" s="200"/>
    </row>
    <row r="373" spans="65:66" s="198" customFormat="1" x14ac:dyDescent="0.25">
      <c r="BM373" s="200"/>
      <c r="BN373" s="200"/>
    </row>
    <row r="374" spans="65:66" s="198" customFormat="1" x14ac:dyDescent="0.25">
      <c r="BM374" s="200"/>
      <c r="BN374" s="200"/>
    </row>
    <row r="375" spans="65:66" s="198" customFormat="1" x14ac:dyDescent="0.25">
      <c r="BM375" s="200"/>
      <c r="BN375" s="200"/>
    </row>
    <row r="376" spans="65:66" s="198" customFormat="1" x14ac:dyDescent="0.25">
      <c r="BM376" s="200"/>
      <c r="BN376" s="200"/>
    </row>
    <row r="377" spans="65:66" s="198" customFormat="1" x14ac:dyDescent="0.25">
      <c r="BM377" s="200"/>
      <c r="BN377" s="200"/>
    </row>
  </sheetData>
  <sheetProtection algorithmName="SHA-512" hashValue="KyFdcxcYTAIDe4aj0lnPAKGYMKPXxVOQQ090dvR8sD0G+AL0EbEDosriJBHCM7brtlg8NpDvzjyi78UuXPl6gw==" saltValue="FtdqAbcN4SEnSkvFcz6rsQ==" spinCount="100000" sheet="1" objects="1" scenarios="1"/>
  <mergeCells count="14">
    <mergeCell ref="B62:C62"/>
    <mergeCell ref="B2:J3"/>
    <mergeCell ref="B206:E206"/>
    <mergeCell ref="B89:F90"/>
    <mergeCell ref="B99:B100"/>
    <mergeCell ref="C99:F100"/>
    <mergeCell ref="B115:J115"/>
    <mergeCell ref="B13:J13"/>
    <mergeCell ref="B44:J44"/>
    <mergeCell ref="B21:J21"/>
    <mergeCell ref="B15:D15"/>
    <mergeCell ref="E62:G62"/>
    <mergeCell ref="G89:K90"/>
    <mergeCell ref="G99:J99"/>
  </mergeCells>
  <dataValidations count="1">
    <dataValidation type="list" allowBlank="1" showInputMessage="1" showErrorMessage="1" sqref="E154:E155 C86 C92 C89:C90 E113 E111 C102 E102" xr:uid="{3C31A7CC-8693-4808-AE1B-857C92DBC7C1}">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91FE634E-4EC8-4B91-956D-4D7954FEBC9F}">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E128:E130</xm:sqref>
        </x14:conditionalFormatting>
        <x14:conditionalFormatting xmlns:xm="http://schemas.microsoft.com/office/excel/2006/main">
          <x14:cfRule type="iconSet" priority="4" id="{0FF39671-50A7-491C-83C9-AAEAB58AAC9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E140:E146</xm:sqref>
        </x14:conditionalFormatting>
        <x14:conditionalFormatting xmlns:xm="http://schemas.microsoft.com/office/excel/2006/main">
          <x14:cfRule type="iconSet" priority="6" id="{85E0FC64-BC28-4A33-AF89-DD057A6CEDC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E147:E148</xm:sqref>
        </x14:conditionalFormatting>
        <x14:conditionalFormatting xmlns:xm="http://schemas.microsoft.com/office/excel/2006/main">
          <x14:cfRule type="iconSet" priority="2" id="{E78E3BF2-9403-4799-8D86-45096BF2B39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E131:E132</xm:sqref>
        </x14:conditionalFormatting>
        <x14:conditionalFormatting xmlns:xm="http://schemas.microsoft.com/office/excel/2006/main">
          <x14:cfRule type="iconSet" priority="39" id="{266FCCC9-0407-4D90-8A83-81DE4D429A4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E135:E138</xm:sqref>
        </x14:conditionalFormatting>
        <x14:conditionalFormatting xmlns:xm="http://schemas.microsoft.com/office/excel/2006/main">
          <x14:cfRule type="iconSet" priority="40" id="{0BB7FFEA-B75B-4FB2-A426-8DC632A05A7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E151:E153</xm:sqref>
        </x14:conditionalFormatting>
        <x14:conditionalFormatting xmlns:xm="http://schemas.microsoft.com/office/excel/2006/main">
          <x14:cfRule type="iconSet" priority="41" id="{393030A8-4024-4F11-8860-B1015B5E63C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E120:E127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6136191-8BF0-47A4-9F39-465C45EA1FAD}">
          <x14:formula1>
            <xm:f>Codes!$N$4:$N$6</xm:f>
          </x14:formula1>
          <xm:sqref>C99:F100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17503-550C-4106-B9C5-114E7E7B7702}">
  <sheetPr>
    <tabColor theme="1"/>
  </sheetPr>
  <dimension ref="A1:AK123"/>
  <sheetViews>
    <sheetView zoomScale="70" zoomScaleNormal="70" workbookViewId="0">
      <selection activeCell="K15" sqref="K15"/>
    </sheetView>
  </sheetViews>
  <sheetFormatPr defaultRowHeight="15" x14ac:dyDescent="0.25"/>
  <cols>
    <col min="2" max="2" width="33.42578125" customWidth="1"/>
    <col min="3" max="3" width="24.42578125" customWidth="1"/>
    <col min="4" max="4" width="22.85546875" customWidth="1"/>
    <col min="5" max="5" width="16.140625" customWidth="1"/>
    <col min="6" max="6" width="13.140625" bestFit="1" customWidth="1"/>
    <col min="7" max="7" width="14" bestFit="1" customWidth="1"/>
    <col min="8" max="8" width="11.7109375" bestFit="1" customWidth="1"/>
    <col min="10" max="10" width="11.42578125" customWidth="1"/>
    <col min="11" max="11" width="20.140625" bestFit="1" customWidth="1"/>
    <col min="12" max="12" width="28.85546875" bestFit="1" customWidth="1"/>
    <col min="13" max="13" width="34" bestFit="1" customWidth="1"/>
    <col min="14" max="14" width="62.140625" bestFit="1" customWidth="1"/>
    <col min="15" max="15" width="12.85546875" bestFit="1" customWidth="1"/>
    <col min="16" max="16" width="7.42578125" customWidth="1"/>
    <col min="17" max="17" width="9.5703125" bestFit="1" customWidth="1"/>
    <col min="18" max="18" width="13.85546875" bestFit="1" customWidth="1"/>
    <col min="19" max="19" width="9" customWidth="1"/>
    <col min="20" max="20" width="14" customWidth="1"/>
    <col min="21" max="21" width="12.28515625" customWidth="1"/>
    <col min="22" max="22" width="8.28515625" bestFit="1" customWidth="1"/>
    <col min="23" max="23" width="11.85546875" customWidth="1"/>
    <col min="24" max="24" width="13.85546875" customWidth="1"/>
    <col min="25" max="25" width="14.140625" customWidth="1"/>
    <col min="26" max="27" width="13" bestFit="1" customWidth="1"/>
    <col min="30" max="30" width="13.5703125" customWidth="1"/>
  </cols>
  <sheetData>
    <row r="1" spans="1:37" x14ac:dyDescent="0.25">
      <c r="A1" s="321"/>
      <c r="B1" s="719" t="s">
        <v>230</v>
      </c>
      <c r="C1" s="719" t="s">
        <v>231</v>
      </c>
      <c r="D1" s="720" t="s">
        <v>232</v>
      </c>
      <c r="E1" s="719" t="s">
        <v>233</v>
      </c>
      <c r="F1" s="348"/>
      <c r="G1" s="721" t="s">
        <v>46</v>
      </c>
      <c r="H1" s="722" t="s">
        <v>201</v>
      </c>
      <c r="I1" s="721"/>
      <c r="J1" s="723">
        <v>0</v>
      </c>
      <c r="K1" s="348" t="s">
        <v>234</v>
      </c>
      <c r="L1" s="348" t="s">
        <v>235</v>
      </c>
      <c r="M1" s="348" t="s">
        <v>105</v>
      </c>
      <c r="N1" s="348"/>
      <c r="O1" s="724" t="s">
        <v>204</v>
      </c>
      <c r="P1" s="348" t="s">
        <v>491</v>
      </c>
      <c r="Q1" s="724" t="s">
        <v>205</v>
      </c>
      <c r="R1" s="724" t="s">
        <v>206</v>
      </c>
      <c r="S1" s="348"/>
      <c r="T1" s="348" t="s">
        <v>346</v>
      </c>
      <c r="U1" s="348"/>
      <c r="V1" s="348"/>
      <c r="W1" s="348" t="s">
        <v>388</v>
      </c>
      <c r="X1" s="348"/>
      <c r="Y1" s="348"/>
      <c r="Z1" s="321"/>
      <c r="AA1" s="321"/>
      <c r="AB1" s="321"/>
      <c r="AC1" s="200"/>
      <c r="AD1" s="200"/>
      <c r="AE1" s="200"/>
      <c r="AF1" s="200"/>
      <c r="AG1" s="200"/>
      <c r="AH1" s="200"/>
      <c r="AI1" s="348"/>
      <c r="AJ1" s="348"/>
      <c r="AK1" s="348"/>
    </row>
    <row r="2" spans="1:37" x14ac:dyDescent="0.25">
      <c r="A2" s="321"/>
      <c r="B2" s="348" t="str">
        <f>B11</f>
        <v xml:space="preserve">Urban Auckland </v>
      </c>
      <c r="C2" s="348" t="str">
        <f>C12</f>
        <v>Couple Only</v>
      </c>
      <c r="D2" s="725">
        <v>0</v>
      </c>
      <c r="E2" s="348" t="s">
        <v>236</v>
      </c>
      <c r="F2" s="721" t="s">
        <v>52</v>
      </c>
      <c r="G2" s="721" t="s">
        <v>48</v>
      </c>
      <c r="H2" s="721" t="s">
        <v>237</v>
      </c>
      <c r="I2" s="721"/>
      <c r="J2" s="723">
        <v>0.03</v>
      </c>
      <c r="K2" s="348" t="s">
        <v>238</v>
      </c>
      <c r="L2" s="348" t="s">
        <v>239</v>
      </c>
      <c r="M2" s="348" t="s">
        <v>111</v>
      </c>
      <c r="N2" s="348" t="s">
        <v>240</v>
      </c>
      <c r="O2" s="726"/>
      <c r="P2" s="348"/>
      <c r="Q2" s="726"/>
      <c r="R2" s="726">
        <v>1</v>
      </c>
      <c r="S2" s="348"/>
      <c r="T2" s="348" t="s">
        <v>347</v>
      </c>
      <c r="U2" s="348"/>
      <c r="V2" s="348"/>
      <c r="W2" s="348" t="s">
        <v>389</v>
      </c>
      <c r="X2" s="348"/>
      <c r="Y2" s="348"/>
      <c r="Z2" s="321"/>
      <c r="AA2" s="321"/>
      <c r="AB2" s="321"/>
      <c r="AC2" s="200"/>
      <c r="AD2" s="200"/>
      <c r="AE2" s="200"/>
      <c r="AF2" s="200"/>
      <c r="AG2" s="200"/>
      <c r="AH2" s="200"/>
      <c r="AI2" s="348"/>
      <c r="AJ2" s="348"/>
      <c r="AK2" s="348"/>
    </row>
    <row r="3" spans="1:37" ht="15.75" x14ac:dyDescent="0.25">
      <c r="A3" s="321"/>
      <c r="B3" s="348" t="str">
        <f>B30</f>
        <v xml:space="preserve">Urban Waikato/Bay of Plenty </v>
      </c>
      <c r="C3" s="348" t="str">
        <f>D12</f>
        <v>Couple with 1 dependent child</v>
      </c>
      <c r="D3" s="727">
        <v>0.03</v>
      </c>
      <c r="E3" s="348" t="s">
        <v>241</v>
      </c>
      <c r="F3" s="721" t="s">
        <v>54</v>
      </c>
      <c r="G3" s="721" t="s">
        <v>242</v>
      </c>
      <c r="H3" s="721" t="s">
        <v>243</v>
      </c>
      <c r="I3" s="721"/>
      <c r="J3" s="723">
        <v>0.04</v>
      </c>
      <c r="K3" s="348"/>
      <c r="L3" s="348"/>
      <c r="M3" s="348" t="s">
        <v>113</v>
      </c>
      <c r="N3" s="348" t="s">
        <v>244</v>
      </c>
      <c r="O3" s="726">
        <v>0.1</v>
      </c>
      <c r="P3" s="348"/>
      <c r="Q3" s="726"/>
      <c r="R3" s="726">
        <v>0.9</v>
      </c>
      <c r="S3" s="348"/>
      <c r="T3" s="348" t="s">
        <v>348</v>
      </c>
      <c r="U3" s="348"/>
      <c r="V3" s="348"/>
      <c r="W3" s="348"/>
      <c r="X3" s="348"/>
      <c r="Y3" s="348"/>
      <c r="Z3" s="321"/>
      <c r="AA3" s="321"/>
      <c r="AB3" s="321"/>
      <c r="AC3" s="200"/>
      <c r="AD3" s="200"/>
      <c r="AE3" s="200"/>
      <c r="AF3" s="200"/>
      <c r="AG3" s="200"/>
      <c r="AH3" s="200"/>
      <c r="AI3" s="348"/>
      <c r="AJ3" s="348"/>
      <c r="AK3" s="348"/>
    </row>
    <row r="4" spans="1:37" ht="15.75" x14ac:dyDescent="0.25">
      <c r="A4" s="321"/>
      <c r="B4" s="348" t="str">
        <f>B49</f>
        <v xml:space="preserve">Urban Wellington </v>
      </c>
      <c r="C4" s="348" t="str">
        <f>E12</f>
        <v>Couple with 2 dependent children</v>
      </c>
      <c r="D4" s="727">
        <v>0.04</v>
      </c>
      <c r="E4" s="348" t="s">
        <v>245</v>
      </c>
      <c r="F4" s="721"/>
      <c r="G4" s="721"/>
      <c r="H4" s="348"/>
      <c r="I4" s="348"/>
      <c r="J4" s="723">
        <v>0.06</v>
      </c>
      <c r="K4" s="348"/>
      <c r="L4" s="348"/>
      <c r="M4" s="348" t="s">
        <v>115</v>
      </c>
      <c r="N4" s="348" t="s">
        <v>208</v>
      </c>
      <c r="O4" s="726">
        <v>0.3</v>
      </c>
      <c r="P4" s="348"/>
      <c r="Q4" s="726">
        <v>0.3</v>
      </c>
      <c r="R4" s="726">
        <v>0.4</v>
      </c>
      <c r="S4" s="348"/>
      <c r="T4" s="348"/>
      <c r="U4" s="348"/>
      <c r="V4" s="348"/>
      <c r="W4" s="348"/>
      <c r="X4" s="348"/>
      <c r="Y4" s="348"/>
      <c r="Z4" s="321"/>
      <c r="AA4" s="321"/>
      <c r="AB4" s="321"/>
      <c r="AC4" s="200"/>
      <c r="AD4" s="200"/>
      <c r="AE4" s="200"/>
      <c r="AF4" s="200"/>
      <c r="AG4" s="200"/>
      <c r="AH4" s="200"/>
      <c r="AI4" s="348"/>
      <c r="AJ4" s="348"/>
      <c r="AK4" s="348"/>
    </row>
    <row r="5" spans="1:37" ht="15.75" x14ac:dyDescent="0.25">
      <c r="A5" s="321"/>
      <c r="B5" s="348" t="str">
        <f>B68</f>
        <v xml:space="preserve">Rest of Urban North Island </v>
      </c>
      <c r="C5" s="348" t="str">
        <f>F12</f>
        <v>Couple with 3 dependent children</v>
      </c>
      <c r="D5" s="727">
        <v>0.06</v>
      </c>
      <c r="E5" s="348"/>
      <c r="F5" s="721"/>
      <c r="G5" s="721"/>
      <c r="H5" s="348"/>
      <c r="I5" s="348"/>
      <c r="J5" s="723">
        <v>0.08</v>
      </c>
      <c r="K5" s="348"/>
      <c r="L5" s="348"/>
      <c r="M5" s="348" t="s">
        <v>117</v>
      </c>
      <c r="N5" s="348" t="s">
        <v>246</v>
      </c>
      <c r="O5" s="726"/>
      <c r="P5" s="348"/>
      <c r="Q5" s="726">
        <v>0.5</v>
      </c>
      <c r="R5" s="726">
        <v>0.5</v>
      </c>
      <c r="S5" s="348"/>
      <c r="T5" s="348"/>
      <c r="U5" s="348"/>
      <c r="V5" s="348"/>
      <c r="W5" s="348"/>
      <c r="X5" s="348"/>
      <c r="Y5" s="348"/>
      <c r="Z5" s="321"/>
      <c r="AA5" s="321"/>
      <c r="AB5" s="321"/>
      <c r="AC5" s="200"/>
      <c r="AD5" s="200"/>
      <c r="AE5" s="200"/>
      <c r="AF5" s="200"/>
      <c r="AG5" s="200"/>
      <c r="AH5" s="200"/>
      <c r="AI5" s="348"/>
      <c r="AJ5" s="348"/>
      <c r="AK5" s="348"/>
    </row>
    <row r="6" spans="1:37" ht="15.75" x14ac:dyDescent="0.25">
      <c r="A6" s="321"/>
      <c r="B6" s="348" t="str">
        <f>B87</f>
        <v xml:space="preserve">Urban South Island </v>
      </c>
      <c r="C6" s="348" t="str">
        <f>G12</f>
        <v>1 parent with dependent child(ren)</v>
      </c>
      <c r="D6" s="727">
        <v>0.08</v>
      </c>
      <c r="E6" s="348"/>
      <c r="F6" s="348"/>
      <c r="G6" s="348"/>
      <c r="H6" s="348"/>
      <c r="I6" s="348"/>
      <c r="J6" s="723">
        <v>0.1</v>
      </c>
      <c r="K6" s="348"/>
      <c r="L6" s="348"/>
      <c r="M6" s="348" t="s">
        <v>119</v>
      </c>
      <c r="N6" s="348" t="s">
        <v>490</v>
      </c>
      <c r="O6" s="348"/>
      <c r="P6" s="723">
        <v>0.3</v>
      </c>
      <c r="Q6" s="723">
        <v>0.3</v>
      </c>
      <c r="R6" s="723">
        <v>0.4</v>
      </c>
      <c r="S6" s="348"/>
      <c r="T6" s="348"/>
      <c r="U6" s="348"/>
      <c r="V6" s="348"/>
      <c r="W6" s="348"/>
      <c r="X6" s="348"/>
      <c r="Y6" s="348"/>
      <c r="Z6" s="321"/>
      <c r="AA6" s="321"/>
      <c r="AB6" s="321"/>
      <c r="AC6" s="200"/>
      <c r="AD6" s="200"/>
      <c r="AE6" s="200"/>
      <c r="AF6" s="200"/>
      <c r="AG6" s="200"/>
      <c r="AH6" s="200"/>
      <c r="AI6" s="348"/>
      <c r="AJ6" s="348"/>
      <c r="AK6" s="348"/>
    </row>
    <row r="7" spans="1:37" ht="15.75" x14ac:dyDescent="0.25">
      <c r="A7" s="321"/>
      <c r="B7" s="348" t="str">
        <f>B106</f>
        <v xml:space="preserve">Rural </v>
      </c>
      <c r="C7" s="348" t="str">
        <f>H12</f>
        <v>1 person</v>
      </c>
      <c r="D7" s="727">
        <v>0.1</v>
      </c>
      <c r="E7" s="348"/>
      <c r="F7" s="348"/>
      <c r="G7" s="348"/>
      <c r="H7" s="348"/>
      <c r="I7" s="348"/>
      <c r="J7" s="348"/>
      <c r="K7" s="348"/>
      <c r="L7" s="348"/>
      <c r="M7" s="348"/>
      <c r="N7" s="348"/>
      <c r="O7" s="348"/>
      <c r="P7" s="348"/>
      <c r="Q7" s="348"/>
      <c r="R7" s="348"/>
      <c r="S7" s="348"/>
      <c r="T7" s="348"/>
      <c r="U7" s="348"/>
      <c r="V7" s="348"/>
      <c r="W7" s="348"/>
      <c r="X7" s="348"/>
      <c r="Y7" s="348"/>
      <c r="Z7" s="321"/>
      <c r="AA7" s="321"/>
      <c r="AB7" s="321"/>
      <c r="AC7" s="200"/>
      <c r="AD7" s="200"/>
      <c r="AE7" s="200"/>
      <c r="AF7" s="200"/>
      <c r="AG7" s="200"/>
      <c r="AH7" s="200"/>
      <c r="AI7" s="348"/>
      <c r="AJ7" s="348"/>
      <c r="AK7" s="348"/>
    </row>
    <row r="8" spans="1:37" x14ac:dyDescent="0.25">
      <c r="A8" s="321"/>
      <c r="B8" s="348"/>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200"/>
      <c r="AD8" s="200"/>
      <c r="AE8" s="200"/>
      <c r="AF8" s="200"/>
      <c r="AG8" s="200"/>
      <c r="AH8" s="200"/>
      <c r="AI8" s="348"/>
      <c r="AJ8" s="348"/>
      <c r="AK8" s="348"/>
    </row>
    <row r="9" spans="1:37" x14ac:dyDescent="0.25">
      <c r="A9" s="321"/>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200"/>
      <c r="AD9" s="200"/>
      <c r="AE9" s="200"/>
      <c r="AF9" s="200"/>
      <c r="AG9" s="200"/>
      <c r="AH9" s="200"/>
      <c r="AI9" s="348"/>
      <c r="AJ9" s="348"/>
      <c r="AK9" s="348"/>
    </row>
    <row r="10" spans="1:37" ht="15.75" thickBot="1" x14ac:dyDescent="0.3">
      <c r="A10" s="200"/>
      <c r="B10" s="200"/>
      <c r="C10" s="200"/>
      <c r="D10" s="200"/>
      <c r="E10" s="200"/>
      <c r="F10" s="200"/>
      <c r="G10" s="200"/>
      <c r="H10" s="200"/>
      <c r="I10" s="200"/>
      <c r="J10" s="200"/>
      <c r="K10" s="200"/>
      <c r="L10" s="200"/>
      <c r="M10" s="200"/>
      <c r="N10" s="200"/>
      <c r="O10" s="200"/>
      <c r="P10" s="200"/>
      <c r="Q10" s="583"/>
      <c r="R10" s="200"/>
      <c r="S10" s="583"/>
      <c r="T10" s="200"/>
      <c r="U10" s="200"/>
      <c r="V10" s="200"/>
      <c r="W10" s="200"/>
      <c r="X10" s="200"/>
      <c r="Y10" s="200"/>
      <c r="Z10" s="200"/>
      <c r="AA10" s="200"/>
      <c r="AB10" s="200"/>
      <c r="AC10" s="200"/>
      <c r="AD10" s="200"/>
      <c r="AE10" s="200"/>
      <c r="AF10" s="200"/>
      <c r="AG10" s="200"/>
      <c r="AH10" s="200"/>
    </row>
    <row r="11" spans="1:37" ht="52.5" customHeight="1" x14ac:dyDescent="0.25">
      <c r="A11" s="200"/>
      <c r="B11" s="74" t="s">
        <v>247</v>
      </c>
      <c r="C11" s="845" t="s">
        <v>248</v>
      </c>
      <c r="D11" s="845"/>
      <c r="E11" s="845"/>
      <c r="F11" s="845"/>
      <c r="G11" s="845"/>
      <c r="H11" s="846"/>
      <c r="I11" s="200"/>
      <c r="J11" s="200"/>
      <c r="K11" s="72"/>
      <c r="L11" s="134" t="s">
        <v>249</v>
      </c>
      <c r="M11" s="135" t="s">
        <v>250</v>
      </c>
      <c r="N11" s="135" t="s">
        <v>251</v>
      </c>
      <c r="O11" s="136" t="str">
        <f>B13</f>
        <v>Food and Groceries</v>
      </c>
      <c r="P11" s="136" t="str">
        <f>B14</f>
        <v>Rent</v>
      </c>
      <c r="Q11" s="136" t="str">
        <f>B15</f>
        <v>Mortgage</v>
      </c>
      <c r="R11" s="136" t="str">
        <f>B16</f>
        <v xml:space="preserve">Passenger Transport </v>
      </c>
      <c r="S11" s="136" t="str">
        <f>B17</f>
        <v xml:space="preserve">Gas/Electricity </v>
      </c>
      <c r="T11" s="136" t="str">
        <f>B18</f>
        <v xml:space="preserve">Telephone/mobile/internet services </v>
      </c>
      <c r="U11" s="136" t="str">
        <f>B19</f>
        <v>Clothing and footwear</v>
      </c>
      <c r="V11" s="136" t="str">
        <f>B20</f>
        <v>Rates</v>
      </c>
      <c r="W11" s="136" t="str">
        <f>B21</f>
        <v xml:space="preserve">House/content insurance </v>
      </c>
      <c r="X11" s="136" t="str">
        <f>B22</f>
        <v xml:space="preserve">Property maintenance </v>
      </c>
      <c r="Y11" s="136" t="str">
        <f>B23</f>
        <v xml:space="preserve">Private vehicle costs </v>
      </c>
      <c r="Z11" s="136" t="str">
        <f>B24</f>
        <v xml:space="preserve">Vehicle Insurance </v>
      </c>
      <c r="AA11" s="136" t="str">
        <f>B25</f>
        <v xml:space="preserve">Medical Insurance </v>
      </c>
      <c r="AB11" s="136" t="str">
        <f>B26</f>
        <v>Health/medical expenses</v>
      </c>
      <c r="AC11" s="136" t="str">
        <f>B27</f>
        <v xml:space="preserve">Life Insurance </v>
      </c>
      <c r="AD11" s="137" t="str">
        <f>B28</f>
        <v xml:space="preserve">Insurance other and combinations </v>
      </c>
      <c r="AE11" s="200"/>
      <c r="AF11" s="200"/>
      <c r="AG11" s="200"/>
      <c r="AH11" s="200"/>
    </row>
    <row r="12" spans="1:37" ht="45.75" thickBot="1" x14ac:dyDescent="0.3">
      <c r="B12" s="75"/>
      <c r="C12" s="76" t="s">
        <v>252</v>
      </c>
      <c r="D12" s="76" t="s">
        <v>253</v>
      </c>
      <c r="E12" s="76" t="s">
        <v>254</v>
      </c>
      <c r="F12" s="76" t="s">
        <v>50</v>
      </c>
      <c r="G12" s="76" t="s">
        <v>255</v>
      </c>
      <c r="H12" s="77" t="s">
        <v>256</v>
      </c>
      <c r="K12" s="78"/>
      <c r="L12" s="138" t="s">
        <v>247</v>
      </c>
      <c r="M12" s="79" t="s">
        <v>252</v>
      </c>
      <c r="N12" s="80" t="str">
        <f>L12&amp;""&amp;M12</f>
        <v>Urban Auckland Couple Only</v>
      </c>
      <c r="O12" s="81">
        <f>$C$13</f>
        <v>263.5</v>
      </c>
      <c r="P12" s="81">
        <f>$C$14</f>
        <v>414</v>
      </c>
      <c r="Q12" s="81">
        <f>$C$15</f>
        <v>608.4</v>
      </c>
      <c r="R12" s="81">
        <f>C$16</f>
        <v>36.700000000000003</v>
      </c>
      <c r="S12" s="81">
        <f>$C$17</f>
        <v>37.200000000000003</v>
      </c>
      <c r="T12" s="81">
        <f>$C$18</f>
        <v>36.1</v>
      </c>
      <c r="U12" s="81">
        <f>$C$19</f>
        <v>128.6</v>
      </c>
      <c r="V12" s="81">
        <f>$C$20</f>
        <v>58.1</v>
      </c>
      <c r="W12" s="81">
        <f>$C$21</f>
        <v>31.8</v>
      </c>
      <c r="X12" s="81">
        <f>$C$22</f>
        <v>153.5</v>
      </c>
      <c r="Y12" s="81">
        <f>$C$23</f>
        <v>72.8</v>
      </c>
      <c r="Z12" s="81">
        <f>$C$24</f>
        <v>21.5</v>
      </c>
      <c r="AA12" s="81">
        <f>$C$25</f>
        <v>52.4</v>
      </c>
      <c r="AB12" s="81">
        <f>$C$26</f>
        <v>90.7</v>
      </c>
      <c r="AC12" s="81">
        <f>$C$27</f>
        <v>46.6</v>
      </c>
      <c r="AD12" s="139">
        <f>$C$28</f>
        <v>45</v>
      </c>
    </row>
    <row r="13" spans="1:37" x14ac:dyDescent="0.25">
      <c r="B13" s="82" t="s">
        <v>66</v>
      </c>
      <c r="C13" s="83">
        <v>263.5</v>
      </c>
      <c r="D13" s="83">
        <v>278.5</v>
      </c>
      <c r="E13" s="83">
        <v>395.8</v>
      </c>
      <c r="F13" s="83">
        <v>407.1</v>
      </c>
      <c r="G13" s="83">
        <v>204.5</v>
      </c>
      <c r="H13" s="84">
        <v>135.1</v>
      </c>
      <c r="K13" s="85"/>
      <c r="L13" s="140" t="s">
        <v>247</v>
      </c>
      <c r="M13" s="79" t="s">
        <v>253</v>
      </c>
      <c r="N13" s="80" t="str">
        <f t="shared" ref="N13:N47" si="0">L13&amp;""&amp;M13</f>
        <v>Urban Auckland Couple with 1 dependent child</v>
      </c>
      <c r="O13" s="81">
        <f>$D$13</f>
        <v>278.5</v>
      </c>
      <c r="P13" s="81">
        <f>$D$14</f>
        <v>455.4</v>
      </c>
      <c r="Q13" s="81">
        <f>$D$15</f>
        <v>664.8</v>
      </c>
      <c r="R13" s="81">
        <f>$D$16</f>
        <v>45.8</v>
      </c>
      <c r="S13" s="81">
        <f>$D$17</f>
        <v>44.8</v>
      </c>
      <c r="T13" s="81">
        <f>$D$18</f>
        <v>35.200000000000003</v>
      </c>
      <c r="U13" s="81">
        <f>$D$19</f>
        <v>107.3</v>
      </c>
      <c r="V13" s="81">
        <f>$D$20</f>
        <v>55.2</v>
      </c>
      <c r="W13" s="81">
        <f>$D$21</f>
        <v>35.700000000000003</v>
      </c>
      <c r="X13" s="81">
        <f>$D$22</f>
        <v>65.7</v>
      </c>
      <c r="Y13" s="81">
        <f>$D$23</f>
        <v>63.1</v>
      </c>
      <c r="Z13" s="81">
        <f>$D$24</f>
        <v>19.600000000000001</v>
      </c>
      <c r="AA13" s="81">
        <f>$D$25</f>
        <v>42.4</v>
      </c>
      <c r="AB13" s="81">
        <f>$D$26</f>
        <v>66.8</v>
      </c>
      <c r="AC13" s="81">
        <f>$D$27</f>
        <v>41.4</v>
      </c>
      <c r="AD13" s="139">
        <f>$D$28</f>
        <v>42</v>
      </c>
    </row>
    <row r="14" spans="1:37" x14ac:dyDescent="0.25">
      <c r="B14" s="86" t="s">
        <v>67</v>
      </c>
      <c r="C14" s="73">
        <v>414</v>
      </c>
      <c r="D14" s="73">
        <v>455.4</v>
      </c>
      <c r="E14" s="73">
        <v>555.29999999999995</v>
      </c>
      <c r="F14" s="73">
        <v>454.5</v>
      </c>
      <c r="G14" s="73">
        <v>422.4</v>
      </c>
      <c r="H14" s="87">
        <v>333.2</v>
      </c>
      <c r="K14" s="85"/>
      <c r="L14" s="140" t="s">
        <v>247</v>
      </c>
      <c r="M14" s="79" t="s">
        <v>254</v>
      </c>
      <c r="N14" s="80" t="str">
        <f t="shared" si="0"/>
        <v>Urban Auckland Couple with 2 dependent children</v>
      </c>
      <c r="O14" s="81">
        <f>$E$13</f>
        <v>395.8</v>
      </c>
      <c r="P14" s="81">
        <f>$E$14</f>
        <v>555.29999999999995</v>
      </c>
      <c r="Q14" s="81">
        <f>$E$15</f>
        <v>640.70000000000005</v>
      </c>
      <c r="R14" s="81">
        <f>$E$16</f>
        <v>20.7</v>
      </c>
      <c r="S14" s="81">
        <f>$E$17</f>
        <v>45.9</v>
      </c>
      <c r="T14" s="81">
        <f>$E$18</f>
        <v>37.200000000000003</v>
      </c>
      <c r="U14" s="81">
        <f>$E$19</f>
        <v>112.9</v>
      </c>
      <c r="V14" s="81">
        <f>$E$20</f>
        <v>62.2</v>
      </c>
      <c r="W14" s="81">
        <f>$E$21</f>
        <v>33.4</v>
      </c>
      <c r="X14" s="81">
        <f>$E$22</f>
        <v>65.7</v>
      </c>
      <c r="Y14" s="81">
        <f>$E$23</f>
        <v>93.5</v>
      </c>
      <c r="Z14" s="81">
        <f>$E$24</f>
        <v>23.6</v>
      </c>
      <c r="AA14" s="81">
        <f>$E$25</f>
        <v>53.2</v>
      </c>
      <c r="AB14" s="81">
        <f>$E$26</f>
        <v>68.099999999999994</v>
      </c>
      <c r="AC14" s="81">
        <f>$E$27</f>
        <v>39</v>
      </c>
      <c r="AD14" s="139">
        <f>$E$28</f>
        <v>65.3</v>
      </c>
    </row>
    <row r="15" spans="1:37" x14ac:dyDescent="0.25">
      <c r="B15" s="86" t="s">
        <v>68</v>
      </c>
      <c r="C15" s="73">
        <v>608.4</v>
      </c>
      <c r="D15" s="73">
        <v>664.8</v>
      </c>
      <c r="E15" s="73">
        <v>640.70000000000005</v>
      </c>
      <c r="F15" s="73">
        <v>840.4</v>
      </c>
      <c r="G15" s="73">
        <v>363.5</v>
      </c>
      <c r="H15" s="87">
        <v>416.1</v>
      </c>
      <c r="K15" s="85"/>
      <c r="L15" s="140" t="s">
        <v>247</v>
      </c>
      <c r="M15" s="79" t="s">
        <v>50</v>
      </c>
      <c r="N15" s="80" t="str">
        <f t="shared" si="0"/>
        <v>Urban Auckland Couple with 3 dependent children</v>
      </c>
      <c r="O15" s="81">
        <f>$F$13</f>
        <v>407.1</v>
      </c>
      <c r="P15" s="81">
        <f>$F$14</f>
        <v>454.5</v>
      </c>
      <c r="Q15" s="81">
        <f>$F$15</f>
        <v>840.4</v>
      </c>
      <c r="R15" s="81">
        <f>$F$16</f>
        <v>58</v>
      </c>
      <c r="S15" s="81">
        <f>$F$17</f>
        <v>64.2</v>
      </c>
      <c r="T15" s="81">
        <f>$F$18</f>
        <v>37</v>
      </c>
      <c r="U15" s="81">
        <f>$F$19</f>
        <v>99</v>
      </c>
      <c r="V15" s="81">
        <f>$F$20</f>
        <v>78</v>
      </c>
      <c r="W15" s="81">
        <f>$F$21</f>
        <v>39.200000000000003</v>
      </c>
      <c r="X15" s="81">
        <f>$F$22</f>
        <v>50.1</v>
      </c>
      <c r="Y15" s="81">
        <f>$F$23</f>
        <v>80.3</v>
      </c>
      <c r="Z15" s="81">
        <f>$F$24</f>
        <v>26.2</v>
      </c>
      <c r="AA15" s="81">
        <f>$F$25</f>
        <v>71</v>
      </c>
      <c r="AB15" s="81">
        <f>$F$26</f>
        <v>60.7</v>
      </c>
      <c r="AC15" s="81">
        <f>$F$27</f>
        <v>30.8</v>
      </c>
      <c r="AD15" s="139">
        <f>$F$28</f>
        <v>44</v>
      </c>
    </row>
    <row r="16" spans="1:37" x14ac:dyDescent="0.25">
      <c r="B16" s="86" t="s">
        <v>69</v>
      </c>
      <c r="C16" s="73">
        <v>36.700000000000003</v>
      </c>
      <c r="D16" s="73">
        <v>45.8</v>
      </c>
      <c r="E16" s="73">
        <v>20.7</v>
      </c>
      <c r="F16" s="73">
        <v>58</v>
      </c>
      <c r="G16" s="73">
        <v>21.5</v>
      </c>
      <c r="H16" s="87">
        <v>51.4</v>
      </c>
      <c r="K16" s="85"/>
      <c r="L16" s="140" t="s">
        <v>247</v>
      </c>
      <c r="M16" s="79" t="s">
        <v>255</v>
      </c>
      <c r="N16" s="80" t="str">
        <f t="shared" si="0"/>
        <v>Urban Auckland 1 parent with dependent child(ren)</v>
      </c>
      <c r="O16" s="81">
        <f>$G$13</f>
        <v>204.5</v>
      </c>
      <c r="P16" s="81">
        <f>$G$14</f>
        <v>422.4</v>
      </c>
      <c r="Q16" s="81">
        <f>$G$15</f>
        <v>363.5</v>
      </c>
      <c r="R16" s="81">
        <f>$G$16</f>
        <v>21.5</v>
      </c>
      <c r="S16" s="81">
        <f>$G$17</f>
        <v>37.200000000000003</v>
      </c>
      <c r="T16" s="81">
        <f>$G$18</f>
        <v>30.9</v>
      </c>
      <c r="U16" s="81">
        <f>$G$19</f>
        <v>67</v>
      </c>
      <c r="V16" s="81">
        <f>$G$20</f>
        <v>34.299999999999997</v>
      </c>
      <c r="W16" s="81">
        <f>$G$21</f>
        <v>26.4</v>
      </c>
      <c r="X16" s="81">
        <f>$G$22</f>
        <v>54.6</v>
      </c>
      <c r="Y16" s="81">
        <f>$G$23</f>
        <v>58.2</v>
      </c>
      <c r="Z16" s="81">
        <f>$G$24</f>
        <v>12.9</v>
      </c>
      <c r="AA16" s="81">
        <f>$G$25</f>
        <v>17.399999999999999</v>
      </c>
      <c r="AB16" s="81">
        <f>$G$26</f>
        <v>17.899999999999999</v>
      </c>
      <c r="AC16" s="81">
        <f>$G$27</f>
        <v>13.9</v>
      </c>
      <c r="AD16" s="139">
        <f>$G$28</f>
        <v>30.1</v>
      </c>
    </row>
    <row r="17" spans="2:30" x14ac:dyDescent="0.25">
      <c r="B17" s="86" t="s">
        <v>70</v>
      </c>
      <c r="C17" s="73">
        <v>37.200000000000003</v>
      </c>
      <c r="D17" s="73">
        <v>44.8</v>
      </c>
      <c r="E17" s="73">
        <v>45.9</v>
      </c>
      <c r="F17" s="73">
        <v>64.2</v>
      </c>
      <c r="G17" s="73">
        <v>37.200000000000003</v>
      </c>
      <c r="H17" s="87">
        <v>28</v>
      </c>
      <c r="K17" s="85"/>
      <c r="L17" s="140" t="s">
        <v>247</v>
      </c>
      <c r="M17" s="79" t="s">
        <v>256</v>
      </c>
      <c r="N17" s="80" t="str">
        <f t="shared" si="0"/>
        <v>Urban Auckland 1 person</v>
      </c>
      <c r="O17" s="81">
        <f>$H$13</f>
        <v>135.1</v>
      </c>
      <c r="P17" s="81">
        <f>$H$14</f>
        <v>333.2</v>
      </c>
      <c r="Q17" s="81">
        <f>$H$15</f>
        <v>416.1</v>
      </c>
      <c r="R17" s="81">
        <f>$H$16</f>
        <v>51.4</v>
      </c>
      <c r="S17" s="81">
        <f>$H$17</f>
        <v>28</v>
      </c>
      <c r="T17" s="81">
        <f>$H$18</f>
        <v>26.6</v>
      </c>
      <c r="U17" s="81">
        <f>$H$19</f>
        <v>68.5</v>
      </c>
      <c r="V17" s="81">
        <f>$H$20</f>
        <v>52.4</v>
      </c>
      <c r="W17" s="81">
        <f>$H$21</f>
        <v>27.9</v>
      </c>
      <c r="X17" s="81">
        <f>$H$22</f>
        <v>36.200000000000003</v>
      </c>
      <c r="Y17" s="81">
        <f>$H$23</f>
        <v>38.4</v>
      </c>
      <c r="Z17" s="81">
        <f>$H$24</f>
        <v>11.4</v>
      </c>
      <c r="AA17" s="81">
        <f>$H$25</f>
        <v>52.6</v>
      </c>
      <c r="AB17" s="81">
        <f>$H$26</f>
        <v>49.1</v>
      </c>
      <c r="AC17" s="81">
        <f>$H$27</f>
        <v>12.4</v>
      </c>
      <c r="AD17" s="139">
        <f>$H$28</f>
        <v>39.6</v>
      </c>
    </row>
    <row r="18" spans="2:30" x14ac:dyDescent="0.25">
      <c r="B18" s="86" t="s">
        <v>71</v>
      </c>
      <c r="C18" s="73">
        <v>36.1</v>
      </c>
      <c r="D18" s="73">
        <v>35.200000000000003</v>
      </c>
      <c r="E18" s="73">
        <v>37.200000000000003</v>
      </c>
      <c r="F18" s="73">
        <v>37</v>
      </c>
      <c r="G18" s="73">
        <v>30.9</v>
      </c>
      <c r="H18" s="87">
        <v>26.6</v>
      </c>
      <c r="K18" s="78"/>
      <c r="L18" s="141" t="s">
        <v>49</v>
      </c>
      <c r="M18" s="88" t="s">
        <v>252</v>
      </c>
      <c r="N18" s="65" t="str">
        <f t="shared" si="0"/>
        <v>Urban Waikato/Bay of Plenty Couple Only</v>
      </c>
      <c r="O18" s="66">
        <f>$C$32</f>
        <v>237.7</v>
      </c>
      <c r="P18" s="66">
        <f>$C$33</f>
        <v>304.89999999999998</v>
      </c>
      <c r="Q18" s="66">
        <f>$C$34</f>
        <v>432.6</v>
      </c>
      <c r="R18" s="66">
        <f>$C$35</f>
        <v>15.7</v>
      </c>
      <c r="S18" s="66">
        <f>$C$36</f>
        <v>44</v>
      </c>
      <c r="T18" s="66">
        <f>$C$37</f>
        <v>33.4</v>
      </c>
      <c r="U18" s="66">
        <f>$C$38</f>
        <v>86.4</v>
      </c>
      <c r="V18" s="66">
        <f>$C$39</f>
        <v>62.2</v>
      </c>
      <c r="W18" s="66">
        <f>$C$40</f>
        <v>30.3</v>
      </c>
      <c r="X18" s="66">
        <f>$C$41</f>
        <v>76.2</v>
      </c>
      <c r="Y18" s="66">
        <f>$C$42</f>
        <v>68.8</v>
      </c>
      <c r="Z18" s="66">
        <f>$C$43</f>
        <v>23.5</v>
      </c>
      <c r="AA18" s="66">
        <f>$C$44</f>
        <v>44</v>
      </c>
      <c r="AB18" s="66">
        <f>$C$45</f>
        <v>73.3</v>
      </c>
      <c r="AC18" s="66">
        <f>$C$46</f>
        <v>34.9</v>
      </c>
      <c r="AD18" s="142">
        <f>$C$47</f>
        <v>38</v>
      </c>
    </row>
    <row r="19" spans="2:30" x14ac:dyDescent="0.25">
      <c r="B19" s="86" t="s">
        <v>72</v>
      </c>
      <c r="C19" s="73">
        <v>128.6</v>
      </c>
      <c r="D19" s="73">
        <v>107.3</v>
      </c>
      <c r="E19" s="73">
        <v>112.9</v>
      </c>
      <c r="F19" s="73">
        <v>99</v>
      </c>
      <c r="G19" s="73">
        <v>67</v>
      </c>
      <c r="H19" s="87">
        <v>68.5</v>
      </c>
      <c r="K19" s="78"/>
      <c r="L19" s="141" t="s">
        <v>49</v>
      </c>
      <c r="M19" s="88" t="s">
        <v>253</v>
      </c>
      <c r="N19" s="65" t="str">
        <f t="shared" si="0"/>
        <v>Urban Waikato/Bay of Plenty Couple with 1 dependent child</v>
      </c>
      <c r="O19" s="66">
        <f>$D$32</f>
        <v>357.2</v>
      </c>
      <c r="P19" s="66">
        <f>$D$33</f>
        <v>430.1</v>
      </c>
      <c r="Q19" s="66">
        <f>$D$34</f>
        <v>551.1</v>
      </c>
      <c r="R19" s="66">
        <f>$D$35</f>
        <v>40.299999999999997</v>
      </c>
      <c r="S19" s="66">
        <f>$D$36</f>
        <v>50.4</v>
      </c>
      <c r="T19" s="66">
        <f>$D$37</f>
        <v>33.200000000000003</v>
      </c>
      <c r="U19" s="66">
        <f>$D$38</f>
        <v>167.3</v>
      </c>
      <c r="V19" s="66">
        <f>$D$39</f>
        <v>57.2</v>
      </c>
      <c r="W19" s="66">
        <f>$D$40</f>
        <v>28.5</v>
      </c>
      <c r="X19" s="66">
        <f>$D$41</f>
        <v>48.6</v>
      </c>
      <c r="Y19" s="66">
        <f>$D$42</f>
        <v>44.6</v>
      </c>
      <c r="Z19" s="66">
        <f>$D$43</f>
        <v>16.600000000000001</v>
      </c>
      <c r="AA19" s="66">
        <f>$D$44</f>
        <v>41.3</v>
      </c>
      <c r="AB19" s="66">
        <f>$D$45</f>
        <v>65</v>
      </c>
      <c r="AC19" s="66">
        <f>$D$46</f>
        <v>16.600000000000001</v>
      </c>
      <c r="AD19" s="142">
        <f>$D$47</f>
        <v>38.4</v>
      </c>
    </row>
    <row r="20" spans="2:30" x14ac:dyDescent="0.25">
      <c r="B20" s="86" t="s">
        <v>73</v>
      </c>
      <c r="C20" s="73">
        <v>58.1</v>
      </c>
      <c r="D20" s="73">
        <v>55.2</v>
      </c>
      <c r="E20" s="73">
        <v>62.2</v>
      </c>
      <c r="F20" s="73">
        <v>78</v>
      </c>
      <c r="G20" s="73">
        <v>34.299999999999997</v>
      </c>
      <c r="H20" s="87">
        <v>52.4</v>
      </c>
      <c r="K20" s="78"/>
      <c r="L20" s="141" t="s">
        <v>49</v>
      </c>
      <c r="M20" s="88" t="s">
        <v>254</v>
      </c>
      <c r="N20" s="65" t="str">
        <f t="shared" si="0"/>
        <v>Urban Waikato/Bay of Plenty Couple with 2 dependent children</v>
      </c>
      <c r="O20" s="66">
        <f>$E$32</f>
        <v>349</v>
      </c>
      <c r="P20" s="66">
        <f>$E$33</f>
        <v>364.3</v>
      </c>
      <c r="Q20" s="66">
        <f>$E$34</f>
        <v>455.4</v>
      </c>
      <c r="R20" s="66">
        <f>$E$35</f>
        <v>27.3</v>
      </c>
      <c r="S20" s="66">
        <f>$E$36</f>
        <v>50.1</v>
      </c>
      <c r="T20" s="66">
        <f>$E$37</f>
        <v>34.799999999999997</v>
      </c>
      <c r="U20" s="66">
        <f>$E$38</f>
        <v>103.5</v>
      </c>
      <c r="V20" s="66">
        <f>$E$39</f>
        <v>61.8</v>
      </c>
      <c r="W20" s="66">
        <f>$E$40</f>
        <v>28.6</v>
      </c>
      <c r="X20" s="66">
        <f>$E$41</f>
        <v>47.9</v>
      </c>
      <c r="Y20" s="66">
        <f>$E$42</f>
        <v>87.5</v>
      </c>
      <c r="Z20" s="66">
        <f>$E$43</f>
        <v>14.8</v>
      </c>
      <c r="AA20" s="66">
        <f>$E$44</f>
        <v>39.5</v>
      </c>
      <c r="AB20" s="66">
        <f>$E$45</f>
        <v>47.2</v>
      </c>
      <c r="AC20" s="66">
        <f>$E$46</f>
        <v>27.7</v>
      </c>
      <c r="AD20" s="142">
        <f>$E$47</f>
        <v>40.9</v>
      </c>
    </row>
    <row r="21" spans="2:30" x14ac:dyDescent="0.25">
      <c r="B21" s="86" t="s">
        <v>74</v>
      </c>
      <c r="C21" s="73">
        <v>31.8</v>
      </c>
      <c r="D21" s="73">
        <v>35.700000000000003</v>
      </c>
      <c r="E21" s="73">
        <v>33.4</v>
      </c>
      <c r="F21" s="73">
        <v>39.200000000000003</v>
      </c>
      <c r="G21" s="73">
        <v>26.4</v>
      </c>
      <c r="H21" s="87">
        <v>27.9</v>
      </c>
      <c r="K21" s="78"/>
      <c r="L21" s="141" t="s">
        <v>49</v>
      </c>
      <c r="M21" s="88" t="s">
        <v>50</v>
      </c>
      <c r="N21" s="65" t="str">
        <f t="shared" si="0"/>
        <v>Urban Waikato/Bay of Plenty Couple with 3 dependent children</v>
      </c>
      <c r="O21" s="66">
        <f>$F$32</f>
        <v>294.10000000000002</v>
      </c>
      <c r="P21" s="66">
        <f>$F$33</f>
        <v>420.6</v>
      </c>
      <c r="Q21" s="66">
        <f>$F$34</f>
        <v>524.4</v>
      </c>
      <c r="R21" s="66">
        <f>$F$35</f>
        <v>47.1</v>
      </c>
      <c r="S21" s="66">
        <f>$F$36</f>
        <v>59.5</v>
      </c>
      <c r="T21" s="66">
        <f>$F$37</f>
        <v>45</v>
      </c>
      <c r="U21" s="66">
        <f>$F$38</f>
        <v>57.4</v>
      </c>
      <c r="V21" s="66">
        <f>$F$39</f>
        <v>38.200000000000003</v>
      </c>
      <c r="W21" s="66">
        <f>$F$40</f>
        <v>39.799999999999997</v>
      </c>
      <c r="X21" s="66">
        <f>$F$41</f>
        <v>29</v>
      </c>
      <c r="Y21" s="66">
        <f>$F$42</f>
        <v>118.4</v>
      </c>
      <c r="Z21" s="66">
        <f>$F$43</f>
        <v>25.5</v>
      </c>
      <c r="AA21" s="66">
        <f>$F$44</f>
        <v>67.400000000000006</v>
      </c>
      <c r="AB21" s="66">
        <f>$F$45</f>
        <v>46.5</v>
      </c>
      <c r="AC21" s="66">
        <f>$F$46</f>
        <v>29.7</v>
      </c>
      <c r="AD21" s="142">
        <f>$F$47</f>
        <v>31.7</v>
      </c>
    </row>
    <row r="22" spans="2:30" x14ac:dyDescent="0.25">
      <c r="B22" s="86" t="s">
        <v>75</v>
      </c>
      <c r="C22" s="73">
        <v>153.5</v>
      </c>
      <c r="D22" s="73">
        <v>65.7</v>
      </c>
      <c r="E22" s="73">
        <v>65.7</v>
      </c>
      <c r="F22" s="73">
        <v>50.1</v>
      </c>
      <c r="G22" s="73">
        <v>54.6</v>
      </c>
      <c r="H22" s="87">
        <v>36.200000000000003</v>
      </c>
      <c r="K22" s="85"/>
      <c r="L22" s="143" t="s">
        <v>49</v>
      </c>
      <c r="M22" s="88" t="s">
        <v>255</v>
      </c>
      <c r="N22" s="65" t="str">
        <f t="shared" si="0"/>
        <v>Urban Waikato/Bay of Plenty 1 parent with dependent child(ren)</v>
      </c>
      <c r="O22" s="66">
        <f>$G$32</f>
        <v>131.80000000000001</v>
      </c>
      <c r="P22" s="66">
        <f>$G$33</f>
        <v>340.6</v>
      </c>
      <c r="Q22" s="66">
        <f>$G$34</f>
        <v>471.6</v>
      </c>
      <c r="R22" s="66">
        <f>$G$35</f>
        <v>27.1</v>
      </c>
      <c r="S22" s="66">
        <f>$G$36</f>
        <v>40.1</v>
      </c>
      <c r="T22" s="66">
        <f>$G$37</f>
        <v>28.3</v>
      </c>
      <c r="U22" s="66">
        <f>$G$38</f>
        <v>36.6</v>
      </c>
      <c r="V22" s="66">
        <f>$G$39</f>
        <v>36.9</v>
      </c>
      <c r="W22" s="66">
        <f>$G$40</f>
        <v>21.9</v>
      </c>
      <c r="X22" s="66">
        <f>$G$41</f>
        <v>44.1</v>
      </c>
      <c r="Y22" s="66">
        <f>$G$42</f>
        <v>42.9</v>
      </c>
      <c r="Z22" s="66">
        <f>$G$43</f>
        <v>11</v>
      </c>
      <c r="AA22" s="66">
        <f>$G$44</f>
        <v>17.399999999999999</v>
      </c>
      <c r="AB22" s="66">
        <f>$G$45</f>
        <v>41.9</v>
      </c>
      <c r="AC22" s="66">
        <f>$G$46</f>
        <v>7.1</v>
      </c>
      <c r="AD22" s="142">
        <f>$G$47</f>
        <v>14.6</v>
      </c>
    </row>
    <row r="23" spans="2:30" x14ac:dyDescent="0.25">
      <c r="B23" s="86" t="s">
        <v>76</v>
      </c>
      <c r="C23" s="73">
        <v>72.8</v>
      </c>
      <c r="D23" s="73">
        <v>63.1</v>
      </c>
      <c r="E23" s="73">
        <v>93.5</v>
      </c>
      <c r="F23" s="73">
        <v>80.3</v>
      </c>
      <c r="G23" s="73">
        <v>58.2</v>
      </c>
      <c r="H23" s="87">
        <v>38.4</v>
      </c>
      <c r="K23" s="85"/>
      <c r="L23" s="143" t="s">
        <v>49</v>
      </c>
      <c r="M23" s="88" t="s">
        <v>256</v>
      </c>
      <c r="N23" s="65" t="str">
        <f t="shared" si="0"/>
        <v>Urban Waikato/Bay of Plenty 1 person</v>
      </c>
      <c r="O23" s="66">
        <f>$H$32</f>
        <v>112.3</v>
      </c>
      <c r="P23" s="66">
        <f>$H$33</f>
        <v>228.4</v>
      </c>
      <c r="Q23" s="66">
        <f>$H$34</f>
        <v>308.39999999999998</v>
      </c>
      <c r="R23" s="66">
        <f>$H$35</f>
        <v>10.4</v>
      </c>
      <c r="S23" s="66">
        <f>$H$36</f>
        <v>34.700000000000003</v>
      </c>
      <c r="T23" s="66">
        <f>$H$37</f>
        <v>27.1</v>
      </c>
      <c r="U23" s="66">
        <f>$H$38</f>
        <v>52.7</v>
      </c>
      <c r="V23" s="66">
        <f>$H$39</f>
        <v>48.4</v>
      </c>
      <c r="W23" s="66">
        <f>$H$40</f>
        <v>21.3</v>
      </c>
      <c r="X23" s="66">
        <f>$H$41</f>
        <v>51.2</v>
      </c>
      <c r="Y23" s="66">
        <f>$H$42</f>
        <v>46.4</v>
      </c>
      <c r="Z23" s="66">
        <f>$H$43</f>
        <v>10.6</v>
      </c>
      <c r="AA23" s="66">
        <f>$H$44</f>
        <v>45.2</v>
      </c>
      <c r="AB23" s="66">
        <f>$H$45</f>
        <v>37.799999999999997</v>
      </c>
      <c r="AC23" s="66">
        <f>$H$46</f>
        <v>16.8</v>
      </c>
      <c r="AD23" s="142">
        <f>$H$47</f>
        <v>25</v>
      </c>
    </row>
    <row r="24" spans="2:30" x14ac:dyDescent="0.25">
      <c r="B24" s="86" t="s">
        <v>77</v>
      </c>
      <c r="C24" s="73">
        <v>21.5</v>
      </c>
      <c r="D24" s="73">
        <v>19.600000000000001</v>
      </c>
      <c r="E24" s="73">
        <v>23.6</v>
      </c>
      <c r="F24" s="73">
        <v>26.2</v>
      </c>
      <c r="G24" s="73">
        <v>12.9</v>
      </c>
      <c r="H24" s="87">
        <v>11.4</v>
      </c>
      <c r="K24" s="85"/>
      <c r="L24" s="144" t="s">
        <v>258</v>
      </c>
      <c r="M24" s="89" t="s">
        <v>252</v>
      </c>
      <c r="N24" s="90" t="str">
        <f t="shared" si="0"/>
        <v>Urban Wellington Couple Only</v>
      </c>
      <c r="O24" s="91">
        <f>$C$51</f>
        <v>282.7</v>
      </c>
      <c r="P24" s="91">
        <f>$C$52</f>
        <v>297.3</v>
      </c>
      <c r="Q24" s="91">
        <f>$C$53</f>
        <v>489</v>
      </c>
      <c r="R24" s="91">
        <f>$C$54</f>
        <v>32.299999999999997</v>
      </c>
      <c r="S24" s="91">
        <f>$C$55</f>
        <v>46.1</v>
      </c>
      <c r="T24" s="91">
        <f>$C$56</f>
        <v>40.200000000000003</v>
      </c>
      <c r="U24" s="91">
        <f>$C$57</f>
        <v>123.9</v>
      </c>
      <c r="V24" s="91">
        <f>$C$58</f>
        <v>70.400000000000006</v>
      </c>
      <c r="W24" s="91">
        <f>$C$59</f>
        <v>37.5</v>
      </c>
      <c r="X24" s="91">
        <f>$C$60</f>
        <v>142.1</v>
      </c>
      <c r="Y24" s="91">
        <f>$C$61</f>
        <v>77.8</v>
      </c>
      <c r="Z24" s="91">
        <f>$C$62</f>
        <v>18.899999999999999</v>
      </c>
      <c r="AA24" s="91">
        <f>$C$63</f>
        <v>67.400000000000006</v>
      </c>
      <c r="AB24" s="91">
        <f>$C$64</f>
        <v>66.7</v>
      </c>
      <c r="AC24" s="91">
        <f>$C$65</f>
        <v>32.799999999999997</v>
      </c>
      <c r="AD24" s="145">
        <f>$C$66</f>
        <v>36.700000000000003</v>
      </c>
    </row>
    <row r="25" spans="2:30" x14ac:dyDescent="0.25">
      <c r="B25" s="86" t="s">
        <v>78</v>
      </c>
      <c r="C25" s="73">
        <v>52.4</v>
      </c>
      <c r="D25" s="73">
        <v>42.4</v>
      </c>
      <c r="E25" s="73">
        <v>53.2</v>
      </c>
      <c r="F25" s="73">
        <v>71</v>
      </c>
      <c r="G25" s="73">
        <v>17.399999999999999</v>
      </c>
      <c r="H25" s="87">
        <v>52.6</v>
      </c>
      <c r="K25" s="85"/>
      <c r="L25" s="144" t="s">
        <v>258</v>
      </c>
      <c r="M25" s="89" t="s">
        <v>253</v>
      </c>
      <c r="N25" s="90" t="str">
        <f t="shared" si="0"/>
        <v>Urban Wellington Couple with 1 dependent child</v>
      </c>
      <c r="O25" s="91">
        <f>$D$51</f>
        <v>317.7</v>
      </c>
      <c r="P25" s="91">
        <f>$D$52</f>
        <v>303.5</v>
      </c>
      <c r="Q25" s="91">
        <f>$D$53</f>
        <v>591</v>
      </c>
      <c r="R25" s="91">
        <f>$D$54</f>
        <v>21.3</v>
      </c>
      <c r="S25" s="91">
        <f>$D$55</f>
        <v>56</v>
      </c>
      <c r="T25" s="91">
        <f>$D$56</f>
        <v>36.299999999999997</v>
      </c>
      <c r="U25" s="91">
        <f>$D$57</f>
        <v>106.5</v>
      </c>
      <c r="V25" s="91">
        <f>$D$58</f>
        <v>53.4</v>
      </c>
      <c r="W25" s="91">
        <f>$D$59</f>
        <v>45.9</v>
      </c>
      <c r="X25" s="91">
        <f>$D$60</f>
        <v>167.3</v>
      </c>
      <c r="Y25" s="91">
        <f>$D$61</f>
        <v>59.9</v>
      </c>
      <c r="Z25" s="91">
        <f>$D$62</f>
        <v>18.8</v>
      </c>
      <c r="AA25" s="91">
        <f>$D$63</f>
        <v>38</v>
      </c>
      <c r="AB25" s="91">
        <f>$D$64</f>
        <v>90.9</v>
      </c>
      <c r="AC25" s="91">
        <f>$D$65</f>
        <v>30.2</v>
      </c>
      <c r="AD25" s="145">
        <f>$D$66</f>
        <v>35.200000000000003</v>
      </c>
    </row>
    <row r="26" spans="2:30" x14ac:dyDescent="0.25">
      <c r="B26" s="86" t="s">
        <v>79</v>
      </c>
      <c r="C26" s="73">
        <v>90.7</v>
      </c>
      <c r="D26" s="73">
        <v>66.8</v>
      </c>
      <c r="E26" s="73">
        <v>68.099999999999994</v>
      </c>
      <c r="F26" s="73">
        <v>60.7</v>
      </c>
      <c r="G26" s="73">
        <v>17.899999999999999</v>
      </c>
      <c r="H26" s="87">
        <v>49.1</v>
      </c>
      <c r="K26" s="85"/>
      <c r="L26" s="144" t="s">
        <v>258</v>
      </c>
      <c r="M26" s="89" t="s">
        <v>254</v>
      </c>
      <c r="N26" s="90" t="str">
        <f t="shared" si="0"/>
        <v>Urban Wellington Couple with 2 dependent children</v>
      </c>
      <c r="O26" s="91">
        <f>$E$51</f>
        <v>373.9</v>
      </c>
      <c r="P26" s="91">
        <f>$E$52</f>
        <v>465.1</v>
      </c>
      <c r="Q26" s="91">
        <f>$E$53</f>
        <v>498.1</v>
      </c>
      <c r="R26" s="91">
        <f>$E$54</f>
        <v>41.1</v>
      </c>
      <c r="S26" s="91">
        <f>$E$55</f>
        <v>57.7</v>
      </c>
      <c r="T26" s="91">
        <f>$E$56</f>
        <v>43.8</v>
      </c>
      <c r="U26" s="91">
        <f>$E$57</f>
        <v>147.30000000000001</v>
      </c>
      <c r="V26" s="91">
        <f>$E$58</f>
        <v>73.900000000000006</v>
      </c>
      <c r="W26" s="91">
        <f>$E$59</f>
        <v>38.1</v>
      </c>
      <c r="X26" s="91">
        <f>$E$60</f>
        <v>49.9</v>
      </c>
      <c r="Y26" s="91">
        <f>$E$61</f>
        <v>85.2</v>
      </c>
      <c r="Z26" s="91">
        <f>$E$62</f>
        <v>17</v>
      </c>
      <c r="AA26" s="91">
        <f>$E$63</f>
        <v>46</v>
      </c>
      <c r="AB26" s="91">
        <f>$E$64</f>
        <v>70.599999999999994</v>
      </c>
      <c r="AC26" s="91">
        <f>$E$65</f>
        <v>38.299999999999997</v>
      </c>
      <c r="AD26" s="145">
        <f>$E$66</f>
        <v>51.1</v>
      </c>
    </row>
    <row r="27" spans="2:30" x14ac:dyDescent="0.25">
      <c r="B27" s="86" t="s">
        <v>80</v>
      </c>
      <c r="C27" s="73">
        <v>46.6</v>
      </c>
      <c r="D27" s="73">
        <v>41.4</v>
      </c>
      <c r="E27" s="73">
        <v>39</v>
      </c>
      <c r="F27" s="73">
        <v>30.8</v>
      </c>
      <c r="G27" s="73">
        <v>13.9</v>
      </c>
      <c r="H27" s="87">
        <v>12.4</v>
      </c>
      <c r="K27" s="85"/>
      <c r="L27" s="144" t="s">
        <v>258</v>
      </c>
      <c r="M27" s="89" t="s">
        <v>50</v>
      </c>
      <c r="N27" s="90" t="str">
        <f t="shared" si="0"/>
        <v>Urban Wellington Couple with 3 dependent children</v>
      </c>
      <c r="O27" s="91">
        <f>$F$51</f>
        <v>435.2</v>
      </c>
      <c r="P27" s="91">
        <f>$F$52</f>
        <v>267.5</v>
      </c>
      <c r="Q27" s="91">
        <f>$F$53</f>
        <v>542.70000000000005</v>
      </c>
      <c r="R27" s="91">
        <f>$F$54</f>
        <v>42.8</v>
      </c>
      <c r="S27" s="91">
        <f>$F$55</f>
        <v>62.8</v>
      </c>
      <c r="T27" s="91">
        <f>$F$56</f>
        <v>44.2</v>
      </c>
      <c r="U27" s="91">
        <f>$F$57</f>
        <v>170.2</v>
      </c>
      <c r="V27" s="91">
        <f>$F$58</f>
        <v>78.7</v>
      </c>
      <c r="W27" s="91">
        <f>$F$59</f>
        <v>43.8</v>
      </c>
      <c r="X27" s="91">
        <f>$F$60</f>
        <v>50.4</v>
      </c>
      <c r="Y27" s="91">
        <f>$F$61</f>
        <v>106.8</v>
      </c>
      <c r="Z27" s="91">
        <f>$F$62</f>
        <v>20.7</v>
      </c>
      <c r="AA27" s="91">
        <f>$F$63</f>
        <v>67.400000000000006</v>
      </c>
      <c r="AB27" s="91">
        <f>$F$64</f>
        <v>109.9</v>
      </c>
      <c r="AC27" s="91">
        <f>$F$65</f>
        <v>36.1</v>
      </c>
      <c r="AD27" s="145">
        <f>$F$66</f>
        <v>48.3</v>
      </c>
    </row>
    <row r="28" spans="2:30" ht="15.75" thickBot="1" x14ac:dyDescent="0.3">
      <c r="B28" s="92" t="s">
        <v>81</v>
      </c>
      <c r="C28" s="93">
        <v>45</v>
      </c>
      <c r="D28" s="93">
        <v>42</v>
      </c>
      <c r="E28" s="93">
        <v>65.3</v>
      </c>
      <c r="F28" s="93">
        <v>44</v>
      </c>
      <c r="G28" s="93">
        <v>30.1</v>
      </c>
      <c r="H28" s="94">
        <v>39.6</v>
      </c>
      <c r="K28" s="85"/>
      <c r="L28" s="144" t="s">
        <v>258</v>
      </c>
      <c r="M28" s="89" t="s">
        <v>255</v>
      </c>
      <c r="N28" s="90" t="str">
        <f t="shared" si="0"/>
        <v>Urban Wellington 1 parent with dependent child(ren)</v>
      </c>
      <c r="O28" s="91">
        <f>$G$51</f>
        <v>222.7</v>
      </c>
      <c r="P28" s="91">
        <f>$G$52</f>
        <v>258.89999999999998</v>
      </c>
      <c r="Q28" s="91">
        <f>$G$53</f>
        <v>349.1</v>
      </c>
      <c r="R28" s="91">
        <f>$G$54</f>
        <v>27.1</v>
      </c>
      <c r="S28" s="91">
        <f>$G$55</f>
        <v>37.5</v>
      </c>
      <c r="T28" s="91">
        <f>$G$56</f>
        <v>27.4</v>
      </c>
      <c r="U28" s="91">
        <f>$G$57</f>
        <v>29</v>
      </c>
      <c r="V28" s="91">
        <f>$G$58</f>
        <v>51.1</v>
      </c>
      <c r="W28" s="91">
        <f>$G$59</f>
        <v>24.4</v>
      </c>
      <c r="X28" s="91">
        <f>$G$60</f>
        <v>44.1</v>
      </c>
      <c r="Y28" s="91">
        <f>$G$61</f>
        <v>69.3</v>
      </c>
      <c r="Z28" s="91">
        <f>$G$62</f>
        <v>8.9</v>
      </c>
      <c r="AA28" s="91">
        <f>$G$63</f>
        <v>17.399999999999999</v>
      </c>
      <c r="AB28" s="91">
        <f>$G$64</f>
        <v>32.5</v>
      </c>
      <c r="AC28" s="91">
        <f>$G$65</f>
        <v>10.1</v>
      </c>
      <c r="AD28" s="145">
        <f>$G$66</f>
        <v>20.6</v>
      </c>
    </row>
    <row r="29" spans="2:30" ht="15.75" thickBot="1" x14ac:dyDescent="0.3">
      <c r="K29" s="85"/>
      <c r="L29" s="144" t="s">
        <v>258</v>
      </c>
      <c r="M29" s="89" t="s">
        <v>256</v>
      </c>
      <c r="N29" s="90" t="str">
        <f t="shared" si="0"/>
        <v>Urban Wellington 1 person</v>
      </c>
      <c r="O29" s="91">
        <f>$H$51</f>
        <v>116.6</v>
      </c>
      <c r="P29" s="91">
        <f>$H$52</f>
        <v>221.3</v>
      </c>
      <c r="Q29" s="91">
        <f>$H$53</f>
        <v>368.2</v>
      </c>
      <c r="R29" s="91">
        <f>$H$54</f>
        <v>25</v>
      </c>
      <c r="S29" s="91">
        <f>$H$55</f>
        <v>29.9</v>
      </c>
      <c r="T29" s="91">
        <f>$H$56</f>
        <v>30.3</v>
      </c>
      <c r="U29" s="91">
        <f>$H$57</f>
        <v>130.9</v>
      </c>
      <c r="V29" s="91">
        <f>$H$58</f>
        <v>52.6</v>
      </c>
      <c r="W29" s="91">
        <f>$H$59</f>
        <v>28.2</v>
      </c>
      <c r="X29" s="91">
        <f>$H$60</f>
        <v>63.1</v>
      </c>
      <c r="Y29" s="91">
        <f>$H$61</f>
        <v>31.7</v>
      </c>
      <c r="Z29" s="91">
        <f>$H$62</f>
        <v>12.9</v>
      </c>
      <c r="AA29" s="91">
        <f>$H$63</f>
        <v>29.3</v>
      </c>
      <c r="AB29" s="91">
        <f>$H$64</f>
        <v>34.6</v>
      </c>
      <c r="AC29" s="91">
        <f>$H$65</f>
        <v>14.2</v>
      </c>
      <c r="AD29" s="145">
        <f>$H$66</f>
        <v>31.8</v>
      </c>
    </row>
    <row r="30" spans="2:30" x14ac:dyDescent="0.25">
      <c r="B30" s="74" t="s">
        <v>49</v>
      </c>
      <c r="C30" s="845" t="s">
        <v>248</v>
      </c>
      <c r="D30" s="845"/>
      <c r="E30" s="845"/>
      <c r="F30" s="845"/>
      <c r="G30" s="845"/>
      <c r="H30" s="846"/>
      <c r="K30" s="85"/>
      <c r="L30" s="146" t="s">
        <v>259</v>
      </c>
      <c r="M30" s="95" t="s">
        <v>252</v>
      </c>
      <c r="N30" s="96" t="str">
        <f t="shared" si="0"/>
        <v>Rest of Urban North Island Couple Only</v>
      </c>
      <c r="O30" s="97">
        <f>$C$70</f>
        <v>206</v>
      </c>
      <c r="P30" s="97">
        <f>$C$71</f>
        <v>240.9</v>
      </c>
      <c r="Q30" s="97">
        <f>$C$72</f>
        <v>343.9</v>
      </c>
      <c r="R30" s="97">
        <f>$C$73</f>
        <v>15.1</v>
      </c>
      <c r="S30" s="97">
        <f>$C$74</f>
        <v>46</v>
      </c>
      <c r="T30" s="97">
        <f>$C$75</f>
        <v>33.5</v>
      </c>
      <c r="U30" s="97">
        <f>$C$76</f>
        <v>76.900000000000006</v>
      </c>
      <c r="V30" s="97">
        <f>$C$77</f>
        <v>55.7</v>
      </c>
      <c r="W30" s="97">
        <f>$C$78</f>
        <v>30.8</v>
      </c>
      <c r="X30" s="97">
        <f>$C$79</f>
        <v>83.5</v>
      </c>
      <c r="Y30" s="97">
        <f>$C$80</f>
        <v>77.099999999999994</v>
      </c>
      <c r="Z30" s="97">
        <f>$C$81</f>
        <v>17.600000000000001</v>
      </c>
      <c r="AA30" s="97">
        <f>$C$82</f>
        <v>89.9</v>
      </c>
      <c r="AB30" s="97">
        <f>$C$83</f>
        <v>72.7</v>
      </c>
      <c r="AC30" s="97">
        <f>$C$84</f>
        <v>35.5</v>
      </c>
      <c r="AD30" s="147">
        <f>$C$85</f>
        <v>47.2</v>
      </c>
    </row>
    <row r="31" spans="2:30" ht="45.75" thickBot="1" x14ac:dyDescent="0.3">
      <c r="B31" s="75"/>
      <c r="C31" s="76" t="s">
        <v>252</v>
      </c>
      <c r="D31" s="76" t="s">
        <v>253</v>
      </c>
      <c r="E31" s="76" t="s">
        <v>260</v>
      </c>
      <c r="F31" s="76" t="s">
        <v>261</v>
      </c>
      <c r="G31" s="76" t="s">
        <v>257</v>
      </c>
      <c r="H31" s="77" t="s">
        <v>262</v>
      </c>
      <c r="K31" s="85"/>
      <c r="L31" s="146" t="s">
        <v>259</v>
      </c>
      <c r="M31" s="95" t="s">
        <v>253</v>
      </c>
      <c r="N31" s="96" t="str">
        <f t="shared" si="0"/>
        <v>Rest of Urban North Island Couple with 1 dependent child</v>
      </c>
      <c r="O31" s="97">
        <f>$D$70</f>
        <v>330.8</v>
      </c>
      <c r="P31" s="97">
        <f>$D$71</f>
        <v>285.2</v>
      </c>
      <c r="Q31" s="97">
        <f>$D$72</f>
        <v>439</v>
      </c>
      <c r="R31" s="97">
        <f>$D$73</f>
        <v>40.299999999999997</v>
      </c>
      <c r="S31" s="97">
        <f>$D$74</f>
        <v>65.3</v>
      </c>
      <c r="T31" s="97">
        <f>$D$75</f>
        <v>38.799999999999997</v>
      </c>
      <c r="U31" s="97">
        <f>$D$76</f>
        <v>108.6</v>
      </c>
      <c r="V31" s="97">
        <f>$D$77</f>
        <v>63.7</v>
      </c>
      <c r="W31" s="97">
        <f>$D$78</f>
        <v>36.299999999999997</v>
      </c>
      <c r="X31" s="97">
        <f>$D$79</f>
        <v>105.4</v>
      </c>
      <c r="Y31" s="97">
        <f>$D$80</f>
        <v>62.8</v>
      </c>
      <c r="Z31" s="97">
        <f>$D$81</f>
        <v>15.1</v>
      </c>
      <c r="AA31" s="97">
        <f>$D$82</f>
        <v>43.6</v>
      </c>
      <c r="AB31" s="97">
        <f>$D$83</f>
        <v>126.1</v>
      </c>
      <c r="AC31" s="97">
        <f>$D$84</f>
        <v>45.3</v>
      </c>
      <c r="AD31" s="147">
        <f>$D$85</f>
        <v>46.9</v>
      </c>
    </row>
    <row r="32" spans="2:30" x14ac:dyDescent="0.25">
      <c r="B32" s="82" t="s">
        <v>66</v>
      </c>
      <c r="C32" s="83">
        <v>237.7</v>
      </c>
      <c r="D32" s="83">
        <v>357.2</v>
      </c>
      <c r="E32" s="83">
        <v>349</v>
      </c>
      <c r="F32" s="83">
        <v>294.10000000000002</v>
      </c>
      <c r="G32" s="83">
        <v>131.80000000000001</v>
      </c>
      <c r="H32" s="84">
        <v>112.3</v>
      </c>
      <c r="K32" s="85"/>
      <c r="L32" s="146" t="s">
        <v>259</v>
      </c>
      <c r="M32" s="95" t="s">
        <v>254</v>
      </c>
      <c r="N32" s="96" t="str">
        <f t="shared" si="0"/>
        <v>Rest of Urban North Island Couple with 2 dependent children</v>
      </c>
      <c r="O32" s="97">
        <f>$E$70</f>
        <v>329.1</v>
      </c>
      <c r="P32" s="97">
        <f>$E$71</f>
        <v>243.6</v>
      </c>
      <c r="Q32" s="97">
        <f>$E$72</f>
        <v>311</v>
      </c>
      <c r="R32" s="97">
        <f>$E$73</f>
        <v>27.3</v>
      </c>
      <c r="S32" s="97">
        <f>$E$74</f>
        <v>48.9</v>
      </c>
      <c r="T32" s="97">
        <f>$E$75</f>
        <v>37.1</v>
      </c>
      <c r="U32" s="97">
        <f>$E$76</f>
        <v>131.5</v>
      </c>
      <c r="V32" s="97">
        <f>$E$77</f>
        <v>50</v>
      </c>
      <c r="W32" s="97">
        <f>$E$78</f>
        <v>32.799999999999997</v>
      </c>
      <c r="X32" s="97">
        <f>$E$79</f>
        <v>24.5</v>
      </c>
      <c r="Y32" s="97">
        <f>$E$80</f>
        <v>94.8</v>
      </c>
      <c r="Z32" s="97">
        <f>$E$81</f>
        <v>15.9</v>
      </c>
      <c r="AA32" s="97">
        <f>$E$82</f>
        <v>54.3</v>
      </c>
      <c r="AB32" s="97">
        <f>$E$83</f>
        <v>155.5</v>
      </c>
      <c r="AC32" s="97">
        <f>$E$84</f>
        <v>32.200000000000003</v>
      </c>
      <c r="AD32" s="147">
        <f>$E$85</f>
        <v>55.4</v>
      </c>
    </row>
    <row r="33" spans="2:30" x14ac:dyDescent="0.25">
      <c r="B33" s="86" t="s">
        <v>67</v>
      </c>
      <c r="C33" s="73">
        <v>304.89999999999998</v>
      </c>
      <c r="D33" s="73">
        <v>430.1</v>
      </c>
      <c r="E33" s="73">
        <v>364.3</v>
      </c>
      <c r="F33" s="73">
        <v>420.6</v>
      </c>
      <c r="G33" s="73">
        <v>340.6</v>
      </c>
      <c r="H33" s="87">
        <v>228.4</v>
      </c>
      <c r="K33" s="85"/>
      <c r="L33" s="146" t="s">
        <v>259</v>
      </c>
      <c r="M33" s="95" t="s">
        <v>50</v>
      </c>
      <c r="N33" s="96" t="str">
        <f t="shared" si="0"/>
        <v>Rest of Urban North Island Couple with 3 dependent children</v>
      </c>
      <c r="O33" s="97">
        <f>$F$70</f>
        <v>323.3</v>
      </c>
      <c r="P33" s="97">
        <f>$F$71</f>
        <v>275.10000000000002</v>
      </c>
      <c r="Q33" s="97">
        <f>$F$72</f>
        <v>439.8</v>
      </c>
      <c r="R33" s="97">
        <f>$F$73</f>
        <v>47.1</v>
      </c>
      <c r="S33" s="97">
        <f>$F$74</f>
        <v>56.5</v>
      </c>
      <c r="T33" s="97">
        <f>$F$75</f>
        <v>36.9</v>
      </c>
      <c r="U33" s="97">
        <f>$F$76</f>
        <v>22.7</v>
      </c>
      <c r="V33" s="97">
        <f>$F$77</f>
        <v>63.6</v>
      </c>
      <c r="W33" s="97">
        <f>$F$78</f>
        <v>39.200000000000003</v>
      </c>
      <c r="X33" s="97">
        <f>$F$79</f>
        <v>50.4</v>
      </c>
      <c r="Y33" s="97">
        <f>$F$80</f>
        <v>67.3</v>
      </c>
      <c r="Z33" s="97">
        <f>$F$81</f>
        <v>14.5</v>
      </c>
      <c r="AA33" s="97">
        <f>$F$82</f>
        <v>67.400000000000006</v>
      </c>
      <c r="AB33" s="97">
        <f>$F$83</f>
        <v>49.8</v>
      </c>
      <c r="AC33" s="97">
        <f>$F$84</f>
        <v>19.600000000000001</v>
      </c>
      <c r="AD33" s="147">
        <f>$F$85</f>
        <v>48.7</v>
      </c>
    </row>
    <row r="34" spans="2:30" x14ac:dyDescent="0.25">
      <c r="B34" s="86" t="s">
        <v>68</v>
      </c>
      <c r="C34" s="73">
        <v>432.6</v>
      </c>
      <c r="D34" s="73">
        <v>551.1</v>
      </c>
      <c r="E34" s="73">
        <v>455.4</v>
      </c>
      <c r="F34" s="73">
        <v>524.4</v>
      </c>
      <c r="G34" s="73">
        <v>471.6</v>
      </c>
      <c r="H34" s="87">
        <v>308.39999999999998</v>
      </c>
      <c r="K34" s="85"/>
      <c r="L34" s="146" t="s">
        <v>259</v>
      </c>
      <c r="M34" s="95" t="s">
        <v>255</v>
      </c>
      <c r="N34" s="96" t="str">
        <f t="shared" si="0"/>
        <v>Rest of Urban North Island 1 parent with dependent child(ren)</v>
      </c>
      <c r="O34" s="97">
        <f>$G$70</f>
        <v>146.19999999999999</v>
      </c>
      <c r="P34" s="97">
        <f>$G$71</f>
        <v>255.1</v>
      </c>
      <c r="Q34" s="97">
        <f>$G$72</f>
        <v>263.3</v>
      </c>
      <c r="R34" s="97">
        <f>$G$73</f>
        <v>27.1</v>
      </c>
      <c r="S34" s="97">
        <f>$G$74</f>
        <v>41.7</v>
      </c>
      <c r="T34" s="97">
        <f>$G$75</f>
        <v>31.8</v>
      </c>
      <c r="U34" s="97">
        <f>$G$76</f>
        <v>114.8</v>
      </c>
      <c r="V34" s="97">
        <f>$G$77</f>
        <v>42.8</v>
      </c>
      <c r="W34" s="97">
        <f>$G$78</f>
        <v>25.3</v>
      </c>
      <c r="X34" s="97">
        <f>$G$79</f>
        <v>44.1</v>
      </c>
      <c r="Y34" s="97">
        <f>$G$80</f>
        <v>42.2</v>
      </c>
      <c r="Z34" s="97">
        <f>$G$81</f>
        <v>10.9</v>
      </c>
      <c r="AA34" s="97">
        <f>$G$82</f>
        <v>17.399999999999999</v>
      </c>
      <c r="AB34" s="97">
        <f>$G$83</f>
        <v>37.799999999999997</v>
      </c>
      <c r="AC34" s="97">
        <f>$G$84</f>
        <v>13.9</v>
      </c>
      <c r="AD34" s="147">
        <f>$G$85</f>
        <v>29.6</v>
      </c>
    </row>
    <row r="35" spans="2:30" x14ac:dyDescent="0.25">
      <c r="B35" s="86" t="s">
        <v>69</v>
      </c>
      <c r="C35" s="73">
        <v>15.7</v>
      </c>
      <c r="D35" s="73">
        <v>40.299999999999997</v>
      </c>
      <c r="E35" s="73">
        <v>27.3</v>
      </c>
      <c r="F35" s="73">
        <v>47.1</v>
      </c>
      <c r="G35" s="73">
        <v>27.1</v>
      </c>
      <c r="H35" s="87">
        <v>10.4</v>
      </c>
      <c r="K35" s="85"/>
      <c r="L35" s="146" t="s">
        <v>259</v>
      </c>
      <c r="M35" s="95" t="s">
        <v>256</v>
      </c>
      <c r="N35" s="96" t="str">
        <f t="shared" si="0"/>
        <v>Rest of Urban North Island 1 person</v>
      </c>
      <c r="O35" s="97">
        <f>$H$70</f>
        <v>92.1</v>
      </c>
      <c r="P35" s="97">
        <f>$H$71</f>
        <v>192.9</v>
      </c>
      <c r="Q35" s="97">
        <f>$H$72</f>
        <v>182.4</v>
      </c>
      <c r="R35" s="97">
        <f>$H$73</f>
        <v>34.1</v>
      </c>
      <c r="S35" s="97">
        <f>$H$74</f>
        <v>29.2</v>
      </c>
      <c r="T35" s="97">
        <f>$H$75</f>
        <v>28.2</v>
      </c>
      <c r="U35" s="97">
        <f>$H$76</f>
        <v>42</v>
      </c>
      <c r="V35" s="97">
        <f>$H$77</f>
        <v>50.1</v>
      </c>
      <c r="W35" s="97">
        <f>$H$78</f>
        <v>21.4</v>
      </c>
      <c r="X35" s="97">
        <f>$H$79</f>
        <v>55.2</v>
      </c>
      <c r="Y35" s="97">
        <f>$H$80</f>
        <v>34</v>
      </c>
      <c r="Z35" s="97">
        <f>$H$81</f>
        <v>10.1</v>
      </c>
      <c r="AA35" s="97">
        <f>$H$82</f>
        <v>41.6</v>
      </c>
      <c r="AB35" s="97">
        <f>$H$83</f>
        <v>61</v>
      </c>
      <c r="AC35" s="97">
        <f>$H$84</f>
        <v>17.7</v>
      </c>
      <c r="AD35" s="147">
        <f>$H$85</f>
        <v>30.1</v>
      </c>
    </row>
    <row r="36" spans="2:30" x14ac:dyDescent="0.25">
      <c r="B36" s="86" t="s">
        <v>70</v>
      </c>
      <c r="C36" s="73">
        <v>44</v>
      </c>
      <c r="D36" s="73">
        <v>50.4</v>
      </c>
      <c r="E36" s="73">
        <v>50.1</v>
      </c>
      <c r="F36" s="73">
        <v>59.5</v>
      </c>
      <c r="G36" s="73">
        <v>40.1</v>
      </c>
      <c r="H36" s="87">
        <v>34.700000000000003</v>
      </c>
      <c r="K36" s="85"/>
      <c r="L36" s="148" t="s">
        <v>263</v>
      </c>
      <c r="M36" s="98" t="s">
        <v>252</v>
      </c>
      <c r="N36" s="99" t="str">
        <f t="shared" si="0"/>
        <v>Urban South Island Couple Only</v>
      </c>
      <c r="O36" s="54">
        <f>$C$89</f>
        <v>249.2</v>
      </c>
      <c r="P36" s="54">
        <f>$C$90</f>
        <v>268.10000000000002</v>
      </c>
      <c r="Q36" s="54">
        <f>$C$91</f>
        <v>436.9</v>
      </c>
      <c r="R36" s="54">
        <f>$C$92</f>
        <v>15.1</v>
      </c>
      <c r="S36" s="54">
        <f>$C$93</f>
        <v>46</v>
      </c>
      <c r="T36" s="54">
        <f>$C$94</f>
        <v>32.6</v>
      </c>
      <c r="U36" s="54">
        <f>$C$95</f>
        <v>87.9</v>
      </c>
      <c r="V36" s="54">
        <f>$C$96</f>
        <v>57.4</v>
      </c>
      <c r="W36" s="54">
        <f>$C$97</f>
        <v>30.1</v>
      </c>
      <c r="X36" s="54">
        <f>$C$98</f>
        <v>53.8</v>
      </c>
      <c r="Y36" s="54">
        <f>$C$99</f>
        <v>65.900000000000006</v>
      </c>
      <c r="Z36" s="54">
        <f>$C$100</f>
        <v>17.399999999999999</v>
      </c>
      <c r="AA36" s="54">
        <f>$C$101</f>
        <v>78.3</v>
      </c>
      <c r="AB36" s="54">
        <f>$C$102</f>
        <v>94.6</v>
      </c>
      <c r="AC36" s="54">
        <f>$C$103</f>
        <v>37.4</v>
      </c>
      <c r="AD36" s="149">
        <f>$C$104</f>
        <v>39.5</v>
      </c>
    </row>
    <row r="37" spans="2:30" x14ac:dyDescent="0.25">
      <c r="B37" s="86" t="s">
        <v>71</v>
      </c>
      <c r="C37" s="73">
        <v>33.4</v>
      </c>
      <c r="D37" s="73">
        <v>33.200000000000003</v>
      </c>
      <c r="E37" s="73">
        <v>34.799999999999997</v>
      </c>
      <c r="F37" s="73">
        <v>45</v>
      </c>
      <c r="G37" s="73">
        <v>28.3</v>
      </c>
      <c r="H37" s="87">
        <v>27.1</v>
      </c>
      <c r="K37" s="85"/>
      <c r="L37" s="148" t="s">
        <v>263</v>
      </c>
      <c r="M37" s="98" t="s">
        <v>253</v>
      </c>
      <c r="N37" s="99" t="str">
        <f t="shared" si="0"/>
        <v>Urban South Island Couple with 1 dependent child</v>
      </c>
      <c r="O37" s="54">
        <f>$D$89</f>
        <v>291.3</v>
      </c>
      <c r="P37" s="54">
        <f>$D$90</f>
        <v>365.3</v>
      </c>
      <c r="Q37" s="54">
        <f>$D$91</f>
        <v>404.7</v>
      </c>
      <c r="R37" s="54">
        <f>$D$92</f>
        <v>15.6</v>
      </c>
      <c r="S37" s="54">
        <f>$D$93</f>
        <v>56.6</v>
      </c>
      <c r="T37" s="54">
        <f>$D$94</f>
        <v>38.200000000000003</v>
      </c>
      <c r="U37" s="54">
        <f>$D$95</f>
        <v>74.599999999999994</v>
      </c>
      <c r="V37" s="54">
        <f>$D$96</f>
        <v>49.7</v>
      </c>
      <c r="W37" s="54">
        <f>$D$97</f>
        <v>27.3</v>
      </c>
      <c r="X37" s="54">
        <f>$D$98</f>
        <v>28.4</v>
      </c>
      <c r="Y37" s="54">
        <f>$D$99</f>
        <v>63.4</v>
      </c>
      <c r="Z37" s="54">
        <f>$D$100</f>
        <v>14.6</v>
      </c>
      <c r="AA37" s="54">
        <f>$D$101</f>
        <v>47.9</v>
      </c>
      <c r="AB37" s="54">
        <f>$D$102</f>
        <v>66.599999999999994</v>
      </c>
      <c r="AC37" s="54">
        <f>$D$103</f>
        <v>24.1</v>
      </c>
      <c r="AD37" s="149">
        <f>$D$104</f>
        <v>68.599999999999994</v>
      </c>
    </row>
    <row r="38" spans="2:30" x14ac:dyDescent="0.25">
      <c r="B38" s="86" t="s">
        <v>72</v>
      </c>
      <c r="C38" s="73">
        <v>86.4</v>
      </c>
      <c r="D38" s="73">
        <v>167.3</v>
      </c>
      <c r="E38" s="73">
        <v>103.5</v>
      </c>
      <c r="F38" s="73">
        <v>57.4</v>
      </c>
      <c r="G38" s="73">
        <v>36.6</v>
      </c>
      <c r="H38" s="87">
        <v>52.7</v>
      </c>
      <c r="K38" s="85"/>
      <c r="L38" s="148" t="s">
        <v>263</v>
      </c>
      <c r="M38" s="98" t="s">
        <v>254</v>
      </c>
      <c r="N38" s="99" t="str">
        <f t="shared" si="0"/>
        <v>Urban South Island Couple with 2 dependent children</v>
      </c>
      <c r="O38" s="54">
        <f>$E$89</f>
        <v>335.3</v>
      </c>
      <c r="P38" s="54">
        <f>$E$90</f>
        <v>347</v>
      </c>
      <c r="Q38" s="54">
        <f>$E$91</f>
        <v>357.5</v>
      </c>
      <c r="R38" s="54">
        <f>$E$92</f>
        <v>23.4</v>
      </c>
      <c r="S38" s="54">
        <f>$E$93</f>
        <v>58.7</v>
      </c>
      <c r="T38" s="54">
        <f>$E$94</f>
        <v>41.6</v>
      </c>
      <c r="U38" s="54">
        <f>$E$95</f>
        <v>122.6</v>
      </c>
      <c r="V38" s="54">
        <f>$E$96</f>
        <v>76.2</v>
      </c>
      <c r="W38" s="54">
        <f>$E$97</f>
        <v>39.799999999999997</v>
      </c>
      <c r="X38" s="54">
        <f>$E$98</f>
        <v>55.7</v>
      </c>
      <c r="Y38" s="54">
        <f>$E$99</f>
        <v>91.8</v>
      </c>
      <c r="Z38" s="54">
        <f>$E$100</f>
        <v>25.4</v>
      </c>
      <c r="AA38" s="54">
        <f>$E$101</f>
        <v>39.5</v>
      </c>
      <c r="AB38" s="54">
        <f>$E$102</f>
        <v>94.5</v>
      </c>
      <c r="AC38" s="54">
        <f>$E$103</f>
        <v>22</v>
      </c>
      <c r="AD38" s="149">
        <f>$E$104</f>
        <v>39.4</v>
      </c>
    </row>
    <row r="39" spans="2:30" x14ac:dyDescent="0.25">
      <c r="B39" s="86" t="s">
        <v>73</v>
      </c>
      <c r="C39" s="73">
        <v>62.2</v>
      </c>
      <c r="D39" s="73">
        <v>57.2</v>
      </c>
      <c r="E39" s="73">
        <v>61.8</v>
      </c>
      <c r="F39" s="73">
        <v>38.200000000000003</v>
      </c>
      <c r="G39" s="73">
        <v>36.9</v>
      </c>
      <c r="H39" s="87">
        <v>48.4</v>
      </c>
      <c r="K39" s="85"/>
      <c r="L39" s="148" t="s">
        <v>263</v>
      </c>
      <c r="M39" s="98" t="s">
        <v>50</v>
      </c>
      <c r="N39" s="99" t="str">
        <f t="shared" si="0"/>
        <v>Urban South Island Couple with 3 dependent children</v>
      </c>
      <c r="O39" s="54">
        <f>$F$89</f>
        <v>276.10000000000002</v>
      </c>
      <c r="P39" s="54">
        <f>$F$90</f>
        <v>260.89999999999998</v>
      </c>
      <c r="Q39" s="54">
        <f>$F$91</f>
        <v>377</v>
      </c>
      <c r="R39" s="54">
        <f>$F$92</f>
        <v>38.1</v>
      </c>
      <c r="S39" s="54">
        <f>$F$93</f>
        <v>57.5</v>
      </c>
      <c r="T39" s="54">
        <f>$F$94</f>
        <v>42</v>
      </c>
      <c r="U39" s="54">
        <f>$F$95</f>
        <v>159.5</v>
      </c>
      <c r="V39" s="54">
        <f>$F$96</f>
        <v>46.9</v>
      </c>
      <c r="W39" s="54">
        <f>$F$97</f>
        <v>30.3</v>
      </c>
      <c r="X39" s="54">
        <f>$F$98</f>
        <v>34.9</v>
      </c>
      <c r="Y39" s="54">
        <f>$F$99</f>
        <v>44.4</v>
      </c>
      <c r="Z39" s="54">
        <f>$F$100</f>
        <v>12.8</v>
      </c>
      <c r="AA39" s="54">
        <f>$F$101</f>
        <v>44.6</v>
      </c>
      <c r="AB39" s="54">
        <f>$F$102</f>
        <v>28.3</v>
      </c>
      <c r="AC39" s="54">
        <f>$F$103</f>
        <v>49.2</v>
      </c>
      <c r="AD39" s="149">
        <f>$F$104</f>
        <v>46.8</v>
      </c>
    </row>
    <row r="40" spans="2:30" x14ac:dyDescent="0.25">
      <c r="B40" s="86" t="s">
        <v>74</v>
      </c>
      <c r="C40" s="73">
        <v>30.3</v>
      </c>
      <c r="D40" s="73">
        <v>28.5</v>
      </c>
      <c r="E40" s="73">
        <v>28.6</v>
      </c>
      <c r="F40" s="73">
        <v>39.799999999999997</v>
      </c>
      <c r="G40" s="73">
        <v>21.9</v>
      </c>
      <c r="H40" s="87">
        <v>21.3</v>
      </c>
      <c r="K40" s="85"/>
      <c r="L40" s="148" t="s">
        <v>263</v>
      </c>
      <c r="M40" s="98" t="s">
        <v>255</v>
      </c>
      <c r="N40" s="99" t="str">
        <f t="shared" si="0"/>
        <v>Urban South Island 1 parent with dependent child(ren)</v>
      </c>
      <c r="O40" s="54">
        <f>$G$89</f>
        <v>175.5</v>
      </c>
      <c r="P40" s="54">
        <f>$G$90</f>
        <v>288</v>
      </c>
      <c r="Q40" s="54">
        <f>$G$91</f>
        <v>258</v>
      </c>
      <c r="R40" s="54">
        <f>$G$92</f>
        <v>27</v>
      </c>
      <c r="S40" s="54">
        <f>$G$93</f>
        <v>41.9</v>
      </c>
      <c r="T40" s="54">
        <f>$G$94</f>
        <v>33</v>
      </c>
      <c r="U40" s="54">
        <f>$G$95</f>
        <v>76.7</v>
      </c>
      <c r="V40" s="54">
        <f>$G$96</f>
        <v>46.2</v>
      </c>
      <c r="W40" s="54">
        <f>$G$97</f>
        <v>23.5</v>
      </c>
      <c r="X40" s="54">
        <f>$G$98</f>
        <v>64.2</v>
      </c>
      <c r="Y40" s="54">
        <f>$G$99</f>
        <v>51.3</v>
      </c>
      <c r="Z40" s="54">
        <f>$G$100</f>
        <v>11.8</v>
      </c>
      <c r="AA40" s="54">
        <f>$G$101</f>
        <v>28.1</v>
      </c>
      <c r="AB40" s="54">
        <f>$G$102</f>
        <v>64.599999999999994</v>
      </c>
      <c r="AC40" s="54">
        <f>$G$103</f>
        <v>8.3000000000000007</v>
      </c>
      <c r="AD40" s="149">
        <f>$G$104</f>
        <v>30.9</v>
      </c>
    </row>
    <row r="41" spans="2:30" x14ac:dyDescent="0.25">
      <c r="B41" s="86" t="s">
        <v>75</v>
      </c>
      <c r="C41" s="73">
        <v>76.2</v>
      </c>
      <c r="D41" s="73">
        <v>48.6</v>
      </c>
      <c r="E41" s="73">
        <v>47.9</v>
      </c>
      <c r="F41" s="73">
        <v>29</v>
      </c>
      <c r="G41" s="73">
        <v>44.1</v>
      </c>
      <c r="H41" s="87">
        <v>51.2</v>
      </c>
      <c r="K41" s="85"/>
      <c r="L41" s="148" t="s">
        <v>263</v>
      </c>
      <c r="M41" s="98" t="s">
        <v>256</v>
      </c>
      <c r="N41" s="99" t="str">
        <f t="shared" si="0"/>
        <v>Urban South Island 1 person</v>
      </c>
      <c r="O41" s="54">
        <f>$H$89</f>
        <v>105.7</v>
      </c>
      <c r="P41" s="54">
        <f>$H$90</f>
        <v>199.2</v>
      </c>
      <c r="Q41" s="54">
        <f>$H$91</f>
        <v>291</v>
      </c>
      <c r="R41" s="54">
        <f>$H$92</f>
        <v>33.200000000000003</v>
      </c>
      <c r="S41" s="54">
        <f>$H$93</f>
        <v>28.5</v>
      </c>
      <c r="T41" s="54">
        <f>$H$94</f>
        <v>26.7</v>
      </c>
      <c r="U41" s="54">
        <f>$H$95</f>
        <v>46.8</v>
      </c>
      <c r="V41" s="54">
        <f>$H$96</f>
        <v>48.4</v>
      </c>
      <c r="W41" s="54">
        <f>$H$97</f>
        <v>26.5</v>
      </c>
      <c r="X41" s="54">
        <f>$H$98</f>
        <v>37.6</v>
      </c>
      <c r="Y41" s="54">
        <f>$H$99</f>
        <v>43.2</v>
      </c>
      <c r="Z41" s="54">
        <f>$H$100</f>
        <v>10.3</v>
      </c>
      <c r="AA41" s="54">
        <f>$H$101</f>
        <v>39</v>
      </c>
      <c r="AB41" s="54">
        <f>$H$102</f>
        <v>99.6</v>
      </c>
      <c r="AC41" s="54">
        <f>$H$103</f>
        <v>16.600000000000001</v>
      </c>
      <c r="AD41" s="149">
        <f>$H$104</f>
        <v>26.3</v>
      </c>
    </row>
    <row r="42" spans="2:30" x14ac:dyDescent="0.25">
      <c r="B42" s="86" t="s">
        <v>76</v>
      </c>
      <c r="C42" s="73">
        <v>68.8</v>
      </c>
      <c r="D42" s="73">
        <v>44.6</v>
      </c>
      <c r="E42" s="73">
        <v>87.5</v>
      </c>
      <c r="F42" s="73">
        <v>118.4</v>
      </c>
      <c r="G42" s="73">
        <v>42.9</v>
      </c>
      <c r="H42" s="87">
        <v>46.4</v>
      </c>
      <c r="K42" s="85"/>
      <c r="L42" s="144" t="s">
        <v>264</v>
      </c>
      <c r="M42" s="89" t="s">
        <v>252</v>
      </c>
      <c r="N42" s="90" t="str">
        <f t="shared" si="0"/>
        <v>Rural Couple Only</v>
      </c>
      <c r="O42" s="91">
        <f>$C$108</f>
        <v>233.9</v>
      </c>
      <c r="P42" s="91">
        <f>$C$109</f>
        <v>233.8</v>
      </c>
      <c r="Q42" s="91">
        <f>$C$110</f>
        <v>452.7</v>
      </c>
      <c r="R42" s="91">
        <f>$C$111</f>
        <v>34.4</v>
      </c>
      <c r="S42" s="91">
        <f>$C$112</f>
        <v>50</v>
      </c>
      <c r="T42" s="91">
        <f>$C$113</f>
        <v>34.799999999999997</v>
      </c>
      <c r="U42" s="91">
        <f>$C$114</f>
        <v>87.8</v>
      </c>
      <c r="V42" s="91">
        <f>$C$115</f>
        <v>52.3</v>
      </c>
      <c r="W42" s="91">
        <f>$C$116</f>
        <v>31.3</v>
      </c>
      <c r="X42" s="91">
        <f>$C$117</f>
        <v>73.599999999999994</v>
      </c>
      <c r="Y42" s="91">
        <f>$C$118</f>
        <v>84.1</v>
      </c>
      <c r="Z42" s="91">
        <f>$C$119</f>
        <v>16.899999999999999</v>
      </c>
      <c r="AA42" s="91">
        <f>$C$120</f>
        <v>75.7</v>
      </c>
      <c r="AB42" s="91">
        <f>$C$121</f>
        <v>86.1</v>
      </c>
      <c r="AC42" s="91">
        <f>$C$122</f>
        <v>38.6</v>
      </c>
      <c r="AD42" s="145">
        <f>$C$123</f>
        <v>46.5</v>
      </c>
    </row>
    <row r="43" spans="2:30" x14ac:dyDescent="0.25">
      <c r="B43" s="86" t="s">
        <v>77</v>
      </c>
      <c r="C43" s="73">
        <v>23.5</v>
      </c>
      <c r="D43" s="73">
        <v>16.600000000000001</v>
      </c>
      <c r="E43" s="73">
        <v>14.8</v>
      </c>
      <c r="F43" s="73">
        <v>25.5</v>
      </c>
      <c r="G43" s="73">
        <v>11</v>
      </c>
      <c r="H43" s="87">
        <v>10.6</v>
      </c>
      <c r="K43" s="85"/>
      <c r="L43" s="144" t="s">
        <v>264</v>
      </c>
      <c r="M43" s="89" t="s">
        <v>253</v>
      </c>
      <c r="N43" s="90" t="str">
        <f t="shared" si="0"/>
        <v>Rural Couple with 1 dependent child</v>
      </c>
      <c r="O43" s="91">
        <f>$D$108</f>
        <v>257.3</v>
      </c>
      <c r="P43" s="91">
        <f>$D$109</f>
        <v>136.80000000000001</v>
      </c>
      <c r="Q43" s="91">
        <f>$D$110</f>
        <v>433.6</v>
      </c>
      <c r="R43" s="91">
        <f>$D$111</f>
        <v>37.299999999999997</v>
      </c>
      <c r="S43" s="91">
        <f>$D$112</f>
        <v>49.3</v>
      </c>
      <c r="T43" s="91">
        <f>$D$113</f>
        <v>30.4</v>
      </c>
      <c r="U43" s="91">
        <f>$D$114</f>
        <v>84.8</v>
      </c>
      <c r="V43" s="91">
        <f>$D$115</f>
        <v>53.4</v>
      </c>
      <c r="W43" s="91">
        <f>$D$116</f>
        <v>26.6</v>
      </c>
      <c r="X43" s="91">
        <f>$D$117</f>
        <v>20.9</v>
      </c>
      <c r="Y43" s="91">
        <f>$D$118</f>
        <v>99.4</v>
      </c>
      <c r="Z43" s="91">
        <f>$D$119</f>
        <v>18.3</v>
      </c>
      <c r="AA43" s="91">
        <f>$D$120</f>
        <v>42.7</v>
      </c>
      <c r="AB43" s="91">
        <f>$D$121</f>
        <v>40.4</v>
      </c>
      <c r="AC43" s="91">
        <f>$D$122</f>
        <v>22.6</v>
      </c>
      <c r="AD43" s="145">
        <f>$D$123</f>
        <v>62.2</v>
      </c>
    </row>
    <row r="44" spans="2:30" x14ac:dyDescent="0.25">
      <c r="B44" s="86" t="s">
        <v>78</v>
      </c>
      <c r="C44" s="73">
        <v>44</v>
      </c>
      <c r="D44" s="73">
        <v>41.3</v>
      </c>
      <c r="E44" s="73">
        <v>39.5</v>
      </c>
      <c r="F44" s="73">
        <v>67.400000000000006</v>
      </c>
      <c r="G44" s="73">
        <v>17.399999999999999</v>
      </c>
      <c r="H44" s="87">
        <v>45.2</v>
      </c>
      <c r="K44" s="85"/>
      <c r="L44" s="144" t="s">
        <v>264</v>
      </c>
      <c r="M44" s="89" t="s">
        <v>254</v>
      </c>
      <c r="N44" s="90" t="str">
        <f t="shared" si="0"/>
        <v>Rural Couple with 2 dependent children</v>
      </c>
      <c r="O44" s="91">
        <f>$E$108</f>
        <v>257.5</v>
      </c>
      <c r="P44" s="91">
        <f>$E$109</f>
        <v>199.9</v>
      </c>
      <c r="Q44" s="91">
        <f>$E$110</f>
        <v>426.7</v>
      </c>
      <c r="R44" s="91">
        <f>$E$111</f>
        <v>11.6</v>
      </c>
      <c r="S44" s="91">
        <f>$E$112</f>
        <v>62.5</v>
      </c>
      <c r="T44" s="91">
        <f>$E$113</f>
        <v>44.7</v>
      </c>
      <c r="U44" s="91">
        <f>$E$114</f>
        <v>110.1</v>
      </c>
      <c r="V44" s="91">
        <f>$E$115</f>
        <v>51.6</v>
      </c>
      <c r="W44" s="91">
        <f>$E$116</f>
        <v>30.5</v>
      </c>
      <c r="X44" s="91">
        <f>$E$117</f>
        <v>99.4</v>
      </c>
      <c r="Y44" s="91">
        <f>$E$118</f>
        <v>117.3</v>
      </c>
      <c r="Z44" s="91">
        <f>$E$119</f>
        <v>18.2</v>
      </c>
      <c r="AA44" s="91">
        <f>$E$120</f>
        <v>45.9</v>
      </c>
      <c r="AB44" s="91">
        <f>$E$121</f>
        <v>98.4</v>
      </c>
      <c r="AC44" s="91">
        <f>$E$122</f>
        <v>24.8</v>
      </c>
      <c r="AD44" s="145">
        <f>$E$123</f>
        <v>54.6</v>
      </c>
    </row>
    <row r="45" spans="2:30" x14ac:dyDescent="0.25">
      <c r="B45" s="86" t="s">
        <v>79</v>
      </c>
      <c r="C45" s="73">
        <v>73.3</v>
      </c>
      <c r="D45" s="73">
        <v>65</v>
      </c>
      <c r="E45" s="73">
        <v>47.2</v>
      </c>
      <c r="F45" s="73">
        <v>46.5</v>
      </c>
      <c r="G45" s="73">
        <v>41.9</v>
      </c>
      <c r="H45" s="87">
        <v>37.799999999999997</v>
      </c>
      <c r="K45" s="85"/>
      <c r="L45" s="144" t="s">
        <v>264</v>
      </c>
      <c r="M45" s="89" t="s">
        <v>50</v>
      </c>
      <c r="N45" s="90" t="str">
        <f t="shared" si="0"/>
        <v>Rural Couple with 3 dependent children</v>
      </c>
      <c r="O45" s="91">
        <f>$F$108</f>
        <v>358.4</v>
      </c>
      <c r="P45" s="91">
        <f>$F$109</f>
        <v>294.3</v>
      </c>
      <c r="Q45" s="91">
        <f>$F$110</f>
        <v>820.6</v>
      </c>
      <c r="R45" s="91">
        <f>$F$111</f>
        <v>20.3</v>
      </c>
      <c r="S45" s="91">
        <f>$F$112</f>
        <v>56.9</v>
      </c>
      <c r="T45" s="91">
        <f>$F$113</f>
        <v>36.6</v>
      </c>
      <c r="U45" s="91">
        <f>$F$114</f>
        <v>115</v>
      </c>
      <c r="V45" s="91">
        <f>$F$115</f>
        <v>38.299999999999997</v>
      </c>
      <c r="W45" s="91">
        <f>$F$116</f>
        <v>30.7</v>
      </c>
      <c r="X45" s="91">
        <f>$F$117</f>
        <v>56.1</v>
      </c>
      <c r="Y45" s="91">
        <f>$F$118</f>
        <v>107.7</v>
      </c>
      <c r="Z45" s="91">
        <f>$F$119</f>
        <v>14.9</v>
      </c>
      <c r="AA45" s="91">
        <f>$F$120</f>
        <v>37.700000000000003</v>
      </c>
      <c r="AB45" s="91">
        <f>$F$121</f>
        <v>81.599999999999994</v>
      </c>
      <c r="AC45" s="91">
        <f>$F$122</f>
        <v>28.8</v>
      </c>
      <c r="AD45" s="145">
        <f>$F$123</f>
        <v>56.5</v>
      </c>
    </row>
    <row r="46" spans="2:30" x14ac:dyDescent="0.25">
      <c r="B46" s="86" t="s">
        <v>80</v>
      </c>
      <c r="C46" s="73">
        <v>34.9</v>
      </c>
      <c r="D46" s="73">
        <v>16.600000000000001</v>
      </c>
      <c r="E46" s="73">
        <v>27.7</v>
      </c>
      <c r="F46" s="73">
        <v>29.7</v>
      </c>
      <c r="G46" s="73">
        <v>7.1</v>
      </c>
      <c r="H46" s="87">
        <v>16.8</v>
      </c>
      <c r="K46" s="85"/>
      <c r="L46" s="144" t="s">
        <v>264</v>
      </c>
      <c r="M46" s="89" t="s">
        <v>255</v>
      </c>
      <c r="N46" s="90" t="str">
        <f t="shared" si="0"/>
        <v>Rural 1 parent with dependent child(ren)</v>
      </c>
      <c r="O46" s="91">
        <f>$G$108</f>
        <v>155.9</v>
      </c>
      <c r="P46" s="91">
        <f>$G$109</f>
        <v>278.7</v>
      </c>
      <c r="Q46" s="91">
        <f>$G$110</f>
        <v>327.2</v>
      </c>
      <c r="R46" s="91">
        <f>$G$111</f>
        <v>28</v>
      </c>
      <c r="S46" s="91">
        <f>$G$112</f>
        <v>44.4</v>
      </c>
      <c r="T46" s="91">
        <f>$G$113</f>
        <v>27</v>
      </c>
      <c r="U46" s="91">
        <f>$G$114</f>
        <v>83.1</v>
      </c>
      <c r="V46" s="91">
        <f>$G$115</f>
        <v>32.1</v>
      </c>
      <c r="W46" s="91">
        <f>$G$116</f>
        <v>21.1</v>
      </c>
      <c r="X46" s="91">
        <f>$G$117</f>
        <v>64.2</v>
      </c>
      <c r="Y46" s="91">
        <f>$G$118</f>
        <v>60.5</v>
      </c>
      <c r="Z46" s="91">
        <f>$G$119</f>
        <v>9.1999999999999993</v>
      </c>
      <c r="AA46" s="91">
        <f>$G$120</f>
        <v>19.399999999999999</v>
      </c>
      <c r="AB46" s="91">
        <f>$G$121</f>
        <v>92.4</v>
      </c>
      <c r="AC46" s="91">
        <f>$G$122</f>
        <v>13.8</v>
      </c>
      <c r="AD46" s="145">
        <f>$G$123</f>
        <v>40.1</v>
      </c>
    </row>
    <row r="47" spans="2:30" ht="15.75" thickBot="1" x14ac:dyDescent="0.3">
      <c r="B47" s="92" t="s">
        <v>81</v>
      </c>
      <c r="C47" s="93">
        <v>38</v>
      </c>
      <c r="D47" s="93">
        <v>38.4</v>
      </c>
      <c r="E47" s="93">
        <v>40.9</v>
      </c>
      <c r="F47" s="93">
        <v>31.7</v>
      </c>
      <c r="G47" s="93">
        <v>14.6</v>
      </c>
      <c r="H47" s="94">
        <v>25</v>
      </c>
      <c r="K47" s="85"/>
      <c r="L47" s="150" t="s">
        <v>264</v>
      </c>
      <c r="M47" s="151" t="s">
        <v>256</v>
      </c>
      <c r="N47" s="152" t="str">
        <f t="shared" si="0"/>
        <v>Rural 1 person</v>
      </c>
      <c r="O47" s="153">
        <f>$H$108</f>
        <v>107.3</v>
      </c>
      <c r="P47" s="153">
        <f>$H$109</f>
        <v>193</v>
      </c>
      <c r="Q47" s="153">
        <f>$H$110</f>
        <v>311.8</v>
      </c>
      <c r="R47" s="153">
        <f>$H$111</f>
        <v>54.1</v>
      </c>
      <c r="S47" s="153">
        <f>$H$112</f>
        <v>35.6</v>
      </c>
      <c r="T47" s="153">
        <f>$H$113</f>
        <v>28.4</v>
      </c>
      <c r="U47" s="153">
        <f>$H$114</f>
        <v>87.5</v>
      </c>
      <c r="V47" s="153">
        <f>$H$115</f>
        <v>45.3</v>
      </c>
      <c r="W47" s="153">
        <f>$H$116</f>
        <v>24.7</v>
      </c>
      <c r="X47" s="153">
        <f>$H$117</f>
        <v>85.5</v>
      </c>
      <c r="Y47" s="153">
        <f>$H$118</f>
        <v>51.4</v>
      </c>
      <c r="Z47" s="153">
        <f>$H$119</f>
        <v>9.4</v>
      </c>
      <c r="AA47" s="153">
        <f>$H$120</f>
        <v>54.9</v>
      </c>
      <c r="AB47" s="153">
        <f>$H$121</f>
        <v>33</v>
      </c>
      <c r="AC47" s="153">
        <f>$H$122</f>
        <v>32.4</v>
      </c>
      <c r="AD47" s="154">
        <f>$H$123</f>
        <v>28.3</v>
      </c>
    </row>
    <row r="48" spans="2:30" ht="15.75" thickBot="1" x14ac:dyDescent="0.3"/>
    <row r="49" spans="2:8" x14ac:dyDescent="0.25">
      <c r="B49" s="74" t="s">
        <v>258</v>
      </c>
      <c r="C49" s="845" t="s">
        <v>248</v>
      </c>
      <c r="D49" s="845"/>
      <c r="E49" s="845"/>
      <c r="F49" s="845"/>
      <c r="G49" s="845"/>
      <c r="H49" s="846"/>
    </row>
    <row r="50" spans="2:8" ht="45.75" thickBot="1" x14ac:dyDescent="0.3">
      <c r="B50" s="100"/>
      <c r="C50" s="101" t="s">
        <v>252</v>
      </c>
      <c r="D50" s="101" t="s">
        <v>253</v>
      </c>
      <c r="E50" s="101" t="s">
        <v>260</v>
      </c>
      <c r="F50" s="101" t="s">
        <v>261</v>
      </c>
      <c r="G50" s="101" t="s">
        <v>257</v>
      </c>
      <c r="H50" s="102" t="s">
        <v>262</v>
      </c>
    </row>
    <row r="51" spans="2:8" x14ac:dyDescent="0.25">
      <c r="B51" s="82" t="s">
        <v>66</v>
      </c>
      <c r="C51" s="83">
        <v>282.7</v>
      </c>
      <c r="D51" s="83">
        <v>317.7</v>
      </c>
      <c r="E51" s="83">
        <v>373.9</v>
      </c>
      <c r="F51" s="83">
        <v>435.2</v>
      </c>
      <c r="G51" s="83">
        <v>222.7</v>
      </c>
      <c r="H51" s="84">
        <v>116.6</v>
      </c>
    </row>
    <row r="52" spans="2:8" x14ac:dyDescent="0.25">
      <c r="B52" s="86" t="s">
        <v>67</v>
      </c>
      <c r="C52" s="73">
        <v>297.3</v>
      </c>
      <c r="D52" s="73">
        <v>303.5</v>
      </c>
      <c r="E52" s="73">
        <v>465.1</v>
      </c>
      <c r="F52" s="73">
        <v>267.5</v>
      </c>
      <c r="G52" s="73">
        <v>258.89999999999998</v>
      </c>
      <c r="H52" s="87">
        <v>221.3</v>
      </c>
    </row>
    <row r="53" spans="2:8" x14ac:dyDescent="0.25">
      <c r="B53" s="86" t="s">
        <v>68</v>
      </c>
      <c r="C53" s="73">
        <v>489</v>
      </c>
      <c r="D53" s="73">
        <v>591</v>
      </c>
      <c r="E53" s="73">
        <v>498.1</v>
      </c>
      <c r="F53" s="73">
        <v>542.70000000000005</v>
      </c>
      <c r="G53" s="73">
        <v>349.1</v>
      </c>
      <c r="H53" s="87">
        <v>368.2</v>
      </c>
    </row>
    <row r="54" spans="2:8" x14ac:dyDescent="0.25">
      <c r="B54" s="86" t="s">
        <v>69</v>
      </c>
      <c r="C54" s="73">
        <v>32.299999999999997</v>
      </c>
      <c r="D54" s="73">
        <v>21.3</v>
      </c>
      <c r="E54" s="73">
        <v>41.1</v>
      </c>
      <c r="F54" s="73">
        <v>42.8</v>
      </c>
      <c r="G54" s="73">
        <v>27.1</v>
      </c>
      <c r="H54" s="87">
        <v>25</v>
      </c>
    </row>
    <row r="55" spans="2:8" x14ac:dyDescent="0.25">
      <c r="B55" s="86" t="s">
        <v>70</v>
      </c>
      <c r="C55" s="73">
        <v>46.1</v>
      </c>
      <c r="D55" s="73">
        <v>56</v>
      </c>
      <c r="E55" s="73">
        <v>57.7</v>
      </c>
      <c r="F55" s="73">
        <v>62.8</v>
      </c>
      <c r="G55" s="73">
        <v>37.5</v>
      </c>
      <c r="H55" s="87">
        <v>29.9</v>
      </c>
    </row>
    <row r="56" spans="2:8" x14ac:dyDescent="0.25">
      <c r="B56" s="86" t="s">
        <v>71</v>
      </c>
      <c r="C56" s="73">
        <v>40.200000000000003</v>
      </c>
      <c r="D56" s="73">
        <v>36.299999999999997</v>
      </c>
      <c r="E56" s="73">
        <v>43.8</v>
      </c>
      <c r="F56" s="73">
        <v>44.2</v>
      </c>
      <c r="G56" s="73">
        <v>27.4</v>
      </c>
      <c r="H56" s="87">
        <v>30.3</v>
      </c>
    </row>
    <row r="57" spans="2:8" x14ac:dyDescent="0.25">
      <c r="B57" s="86" t="s">
        <v>72</v>
      </c>
      <c r="C57" s="73">
        <v>123.9</v>
      </c>
      <c r="D57" s="73">
        <v>106.5</v>
      </c>
      <c r="E57" s="73">
        <v>147.30000000000001</v>
      </c>
      <c r="F57" s="73">
        <v>170.2</v>
      </c>
      <c r="G57" s="73">
        <v>29</v>
      </c>
      <c r="H57" s="87">
        <v>130.9</v>
      </c>
    </row>
    <row r="58" spans="2:8" x14ac:dyDescent="0.25">
      <c r="B58" s="86" t="s">
        <v>73</v>
      </c>
      <c r="C58" s="73">
        <v>70.400000000000006</v>
      </c>
      <c r="D58" s="73">
        <v>53.4</v>
      </c>
      <c r="E58" s="73">
        <v>73.900000000000006</v>
      </c>
      <c r="F58" s="73">
        <v>78.7</v>
      </c>
      <c r="G58" s="73">
        <v>51.1</v>
      </c>
      <c r="H58" s="87">
        <v>52.6</v>
      </c>
    </row>
    <row r="59" spans="2:8" x14ac:dyDescent="0.25">
      <c r="B59" s="86" t="s">
        <v>74</v>
      </c>
      <c r="C59" s="73">
        <v>37.5</v>
      </c>
      <c r="D59" s="73">
        <v>45.9</v>
      </c>
      <c r="E59" s="73">
        <v>38.1</v>
      </c>
      <c r="F59" s="73">
        <v>43.8</v>
      </c>
      <c r="G59" s="73">
        <v>24.4</v>
      </c>
      <c r="H59" s="87">
        <v>28.2</v>
      </c>
    </row>
    <row r="60" spans="2:8" x14ac:dyDescent="0.25">
      <c r="B60" s="86" t="s">
        <v>75</v>
      </c>
      <c r="C60" s="73">
        <v>142.1</v>
      </c>
      <c r="D60" s="73">
        <v>167.3</v>
      </c>
      <c r="E60" s="73">
        <v>49.9</v>
      </c>
      <c r="F60" s="73">
        <v>50.4</v>
      </c>
      <c r="G60" s="73">
        <v>44.1</v>
      </c>
      <c r="H60" s="87">
        <v>63.1</v>
      </c>
    </row>
    <row r="61" spans="2:8" x14ac:dyDescent="0.25">
      <c r="B61" s="86" t="s">
        <v>76</v>
      </c>
      <c r="C61" s="73">
        <v>77.8</v>
      </c>
      <c r="D61" s="73">
        <v>59.9</v>
      </c>
      <c r="E61" s="73">
        <v>85.2</v>
      </c>
      <c r="F61" s="73">
        <v>106.8</v>
      </c>
      <c r="G61" s="73">
        <v>69.3</v>
      </c>
      <c r="H61" s="87">
        <v>31.7</v>
      </c>
    </row>
    <row r="62" spans="2:8" x14ac:dyDescent="0.25">
      <c r="B62" s="86" t="s">
        <v>77</v>
      </c>
      <c r="C62" s="73">
        <v>18.899999999999999</v>
      </c>
      <c r="D62" s="73">
        <v>18.8</v>
      </c>
      <c r="E62" s="73">
        <v>17</v>
      </c>
      <c r="F62" s="73">
        <v>20.7</v>
      </c>
      <c r="G62" s="73">
        <v>8.9</v>
      </c>
      <c r="H62" s="87">
        <v>12.9</v>
      </c>
    </row>
    <row r="63" spans="2:8" x14ac:dyDescent="0.25">
      <c r="B63" s="86" t="s">
        <v>78</v>
      </c>
      <c r="C63" s="73">
        <v>67.400000000000006</v>
      </c>
      <c r="D63" s="73">
        <v>38</v>
      </c>
      <c r="E63" s="73">
        <v>46</v>
      </c>
      <c r="F63" s="73">
        <v>67.400000000000006</v>
      </c>
      <c r="G63" s="73">
        <v>17.399999999999999</v>
      </c>
      <c r="H63" s="87">
        <v>29.3</v>
      </c>
    </row>
    <row r="64" spans="2:8" x14ac:dyDescent="0.25">
      <c r="B64" s="86" t="s">
        <v>79</v>
      </c>
      <c r="C64" s="73">
        <v>66.7</v>
      </c>
      <c r="D64" s="73">
        <v>90.9</v>
      </c>
      <c r="E64" s="73">
        <v>70.599999999999994</v>
      </c>
      <c r="F64" s="73">
        <v>109.9</v>
      </c>
      <c r="G64" s="73">
        <v>32.5</v>
      </c>
      <c r="H64" s="87">
        <v>34.6</v>
      </c>
    </row>
    <row r="65" spans="2:8" x14ac:dyDescent="0.25">
      <c r="B65" s="86" t="s">
        <v>80</v>
      </c>
      <c r="C65" s="73">
        <v>32.799999999999997</v>
      </c>
      <c r="D65" s="73">
        <v>30.2</v>
      </c>
      <c r="E65" s="73">
        <v>38.299999999999997</v>
      </c>
      <c r="F65" s="73">
        <v>36.1</v>
      </c>
      <c r="G65" s="73">
        <v>10.1</v>
      </c>
      <c r="H65" s="87">
        <v>14.2</v>
      </c>
    </row>
    <row r="66" spans="2:8" ht="15.75" thickBot="1" x14ac:dyDescent="0.3">
      <c r="B66" s="92" t="s">
        <v>81</v>
      </c>
      <c r="C66" s="93">
        <v>36.700000000000003</v>
      </c>
      <c r="D66" s="93">
        <v>35.200000000000003</v>
      </c>
      <c r="E66" s="93">
        <v>51.1</v>
      </c>
      <c r="F66" s="93">
        <v>48.3</v>
      </c>
      <c r="G66" s="93">
        <v>20.6</v>
      </c>
      <c r="H66" s="94">
        <v>31.8</v>
      </c>
    </row>
    <row r="67" spans="2:8" ht="15.75" thickBot="1" x14ac:dyDescent="0.3"/>
    <row r="68" spans="2:8" x14ac:dyDescent="0.25">
      <c r="B68" s="74" t="s">
        <v>259</v>
      </c>
      <c r="C68" s="845" t="s">
        <v>248</v>
      </c>
      <c r="D68" s="845"/>
      <c r="E68" s="845"/>
      <c r="F68" s="845"/>
      <c r="G68" s="845"/>
      <c r="H68" s="846"/>
    </row>
    <row r="69" spans="2:8" ht="45.75" thickBot="1" x14ac:dyDescent="0.3">
      <c r="B69" s="100"/>
      <c r="C69" s="101" t="s">
        <v>252</v>
      </c>
      <c r="D69" s="101" t="s">
        <v>253</v>
      </c>
      <c r="E69" s="101" t="s">
        <v>260</v>
      </c>
      <c r="F69" s="101" t="s">
        <v>261</v>
      </c>
      <c r="G69" s="101" t="s">
        <v>257</v>
      </c>
      <c r="H69" s="102" t="s">
        <v>262</v>
      </c>
    </row>
    <row r="70" spans="2:8" x14ac:dyDescent="0.25">
      <c r="B70" s="82" t="s">
        <v>66</v>
      </c>
      <c r="C70" s="83">
        <v>206</v>
      </c>
      <c r="D70" s="83">
        <v>330.8</v>
      </c>
      <c r="E70" s="83">
        <v>329.1</v>
      </c>
      <c r="F70" s="83">
        <v>323.3</v>
      </c>
      <c r="G70" s="83">
        <v>146.19999999999999</v>
      </c>
      <c r="H70" s="84">
        <v>92.1</v>
      </c>
    </row>
    <row r="71" spans="2:8" x14ac:dyDescent="0.25">
      <c r="B71" s="86" t="s">
        <v>67</v>
      </c>
      <c r="C71" s="73">
        <v>240.9</v>
      </c>
      <c r="D71" s="73">
        <v>285.2</v>
      </c>
      <c r="E71" s="73">
        <v>243.6</v>
      </c>
      <c r="F71" s="73">
        <v>275.10000000000002</v>
      </c>
      <c r="G71" s="73">
        <v>255.1</v>
      </c>
      <c r="H71" s="87">
        <v>192.9</v>
      </c>
    </row>
    <row r="72" spans="2:8" x14ac:dyDescent="0.25">
      <c r="B72" s="86" t="s">
        <v>68</v>
      </c>
      <c r="C72" s="73">
        <v>343.9</v>
      </c>
      <c r="D72" s="73">
        <v>439</v>
      </c>
      <c r="E72" s="73">
        <v>311</v>
      </c>
      <c r="F72" s="73">
        <v>439.8</v>
      </c>
      <c r="G72" s="73">
        <v>263.3</v>
      </c>
      <c r="H72" s="87">
        <v>182.4</v>
      </c>
    </row>
    <row r="73" spans="2:8" x14ac:dyDescent="0.25">
      <c r="B73" s="86" t="s">
        <v>69</v>
      </c>
      <c r="C73" s="73">
        <v>15.1</v>
      </c>
      <c r="D73" s="73">
        <v>40.299999999999997</v>
      </c>
      <c r="E73" s="73">
        <v>27.3</v>
      </c>
      <c r="F73" s="73">
        <v>47.1</v>
      </c>
      <c r="G73" s="73">
        <v>27.1</v>
      </c>
      <c r="H73" s="87">
        <v>34.1</v>
      </c>
    </row>
    <row r="74" spans="2:8" x14ac:dyDescent="0.25">
      <c r="B74" s="86" t="s">
        <v>70</v>
      </c>
      <c r="C74" s="73">
        <v>46</v>
      </c>
      <c r="D74" s="73">
        <v>65.3</v>
      </c>
      <c r="E74" s="73">
        <v>48.9</v>
      </c>
      <c r="F74" s="73">
        <v>56.5</v>
      </c>
      <c r="G74" s="73">
        <v>41.7</v>
      </c>
      <c r="H74" s="87">
        <v>29.2</v>
      </c>
    </row>
    <row r="75" spans="2:8" x14ac:dyDescent="0.25">
      <c r="B75" s="86" t="s">
        <v>71</v>
      </c>
      <c r="C75" s="73">
        <v>33.5</v>
      </c>
      <c r="D75" s="73">
        <v>38.799999999999997</v>
      </c>
      <c r="E75" s="73">
        <v>37.1</v>
      </c>
      <c r="F75" s="73">
        <v>36.9</v>
      </c>
      <c r="G75" s="73">
        <v>31.8</v>
      </c>
      <c r="H75" s="87">
        <v>28.2</v>
      </c>
    </row>
    <row r="76" spans="2:8" x14ac:dyDescent="0.25">
      <c r="B76" s="86" t="s">
        <v>72</v>
      </c>
      <c r="C76" s="73">
        <v>76.900000000000006</v>
      </c>
      <c r="D76" s="73">
        <v>108.6</v>
      </c>
      <c r="E76" s="73">
        <v>131.5</v>
      </c>
      <c r="F76" s="73">
        <v>22.7</v>
      </c>
      <c r="G76" s="73">
        <v>114.8</v>
      </c>
      <c r="H76" s="87">
        <v>42</v>
      </c>
    </row>
    <row r="77" spans="2:8" x14ac:dyDescent="0.25">
      <c r="B77" s="86" t="s">
        <v>73</v>
      </c>
      <c r="C77" s="73">
        <v>55.7</v>
      </c>
      <c r="D77" s="73">
        <v>63.7</v>
      </c>
      <c r="E77" s="73">
        <v>50</v>
      </c>
      <c r="F77" s="73">
        <v>63.6</v>
      </c>
      <c r="G77" s="73">
        <v>42.8</v>
      </c>
      <c r="H77" s="87">
        <v>50.1</v>
      </c>
    </row>
    <row r="78" spans="2:8" x14ac:dyDescent="0.25">
      <c r="B78" s="86" t="s">
        <v>74</v>
      </c>
      <c r="C78" s="73">
        <v>30.8</v>
      </c>
      <c r="D78" s="73">
        <v>36.299999999999997</v>
      </c>
      <c r="E78" s="73">
        <v>32.799999999999997</v>
      </c>
      <c r="F78" s="73">
        <v>39.200000000000003</v>
      </c>
      <c r="G78" s="73">
        <v>25.3</v>
      </c>
      <c r="H78" s="87">
        <v>21.4</v>
      </c>
    </row>
    <row r="79" spans="2:8" x14ac:dyDescent="0.25">
      <c r="B79" s="86" t="s">
        <v>75</v>
      </c>
      <c r="C79" s="73">
        <v>83.5</v>
      </c>
      <c r="D79" s="73">
        <v>105.4</v>
      </c>
      <c r="E79" s="73">
        <v>24.5</v>
      </c>
      <c r="F79" s="73">
        <v>50.4</v>
      </c>
      <c r="G79" s="73">
        <v>44.1</v>
      </c>
      <c r="H79" s="87">
        <v>55.2</v>
      </c>
    </row>
    <row r="80" spans="2:8" x14ac:dyDescent="0.25">
      <c r="B80" s="86" t="s">
        <v>76</v>
      </c>
      <c r="C80" s="73">
        <v>77.099999999999994</v>
      </c>
      <c r="D80" s="73">
        <v>62.8</v>
      </c>
      <c r="E80" s="73">
        <v>94.8</v>
      </c>
      <c r="F80" s="73">
        <v>67.3</v>
      </c>
      <c r="G80" s="73">
        <v>42.2</v>
      </c>
      <c r="H80" s="87">
        <v>34</v>
      </c>
    </row>
    <row r="81" spans="2:8" x14ac:dyDescent="0.25">
      <c r="B81" s="86" t="s">
        <v>77</v>
      </c>
      <c r="C81" s="73">
        <v>17.600000000000001</v>
      </c>
      <c r="D81" s="73">
        <v>15.1</v>
      </c>
      <c r="E81" s="73">
        <v>15.9</v>
      </c>
      <c r="F81" s="73">
        <v>14.5</v>
      </c>
      <c r="G81" s="73">
        <v>10.9</v>
      </c>
      <c r="H81" s="87">
        <v>10.1</v>
      </c>
    </row>
    <row r="82" spans="2:8" x14ac:dyDescent="0.25">
      <c r="B82" s="86" t="s">
        <v>78</v>
      </c>
      <c r="C82" s="73">
        <v>89.9</v>
      </c>
      <c r="D82" s="73">
        <v>43.6</v>
      </c>
      <c r="E82" s="73">
        <v>54.3</v>
      </c>
      <c r="F82" s="73">
        <v>67.400000000000006</v>
      </c>
      <c r="G82" s="73">
        <v>17.399999999999999</v>
      </c>
      <c r="H82" s="87">
        <v>41.6</v>
      </c>
    </row>
    <row r="83" spans="2:8" x14ac:dyDescent="0.25">
      <c r="B83" s="86" t="s">
        <v>79</v>
      </c>
      <c r="C83" s="73">
        <v>72.7</v>
      </c>
      <c r="D83" s="73">
        <v>126.1</v>
      </c>
      <c r="E83" s="73">
        <v>155.5</v>
      </c>
      <c r="F83" s="73">
        <v>49.8</v>
      </c>
      <c r="G83" s="73">
        <v>37.799999999999997</v>
      </c>
      <c r="H83" s="87">
        <v>61</v>
      </c>
    </row>
    <row r="84" spans="2:8" x14ac:dyDescent="0.25">
      <c r="B84" s="86" t="s">
        <v>80</v>
      </c>
      <c r="C84" s="73">
        <v>35.5</v>
      </c>
      <c r="D84" s="73">
        <v>45.3</v>
      </c>
      <c r="E84" s="73">
        <v>32.200000000000003</v>
      </c>
      <c r="F84" s="73">
        <v>19.600000000000001</v>
      </c>
      <c r="G84" s="73">
        <v>13.9</v>
      </c>
      <c r="H84" s="87">
        <v>17.7</v>
      </c>
    </row>
    <row r="85" spans="2:8" ht="15.75" thickBot="1" x14ac:dyDescent="0.3">
      <c r="B85" s="92" t="s">
        <v>81</v>
      </c>
      <c r="C85" s="93">
        <v>47.2</v>
      </c>
      <c r="D85" s="93">
        <v>46.9</v>
      </c>
      <c r="E85" s="93">
        <v>55.4</v>
      </c>
      <c r="F85" s="93">
        <v>48.7</v>
      </c>
      <c r="G85" s="93">
        <v>29.6</v>
      </c>
      <c r="H85" s="94">
        <v>30.1</v>
      </c>
    </row>
    <row r="86" spans="2:8" ht="15.75" thickBot="1" x14ac:dyDescent="0.3">
      <c r="E86" s="73"/>
    </row>
    <row r="87" spans="2:8" x14ac:dyDescent="0.25">
      <c r="B87" s="74" t="s">
        <v>263</v>
      </c>
      <c r="C87" s="845" t="s">
        <v>248</v>
      </c>
      <c r="D87" s="845"/>
      <c r="E87" s="845"/>
      <c r="F87" s="845"/>
      <c r="G87" s="845"/>
      <c r="H87" s="846"/>
    </row>
    <row r="88" spans="2:8" ht="45.75" thickBot="1" x14ac:dyDescent="0.3">
      <c r="B88" s="100"/>
      <c r="C88" s="101" t="s">
        <v>252</v>
      </c>
      <c r="D88" s="101" t="s">
        <v>253</v>
      </c>
      <c r="E88" s="101" t="s">
        <v>260</v>
      </c>
      <c r="F88" s="101" t="s">
        <v>261</v>
      </c>
      <c r="G88" s="101" t="s">
        <v>257</v>
      </c>
      <c r="H88" s="102" t="s">
        <v>262</v>
      </c>
    </row>
    <row r="89" spans="2:8" x14ac:dyDescent="0.25">
      <c r="B89" s="82" t="s">
        <v>66</v>
      </c>
      <c r="C89" s="83">
        <v>249.2</v>
      </c>
      <c r="D89" s="83">
        <v>291.3</v>
      </c>
      <c r="E89" s="83">
        <v>335.3</v>
      </c>
      <c r="F89" s="83">
        <v>276.10000000000002</v>
      </c>
      <c r="G89" s="83">
        <v>175.5</v>
      </c>
      <c r="H89" s="84">
        <v>105.7</v>
      </c>
    </row>
    <row r="90" spans="2:8" x14ac:dyDescent="0.25">
      <c r="B90" s="86" t="s">
        <v>67</v>
      </c>
      <c r="C90" s="73">
        <v>268.10000000000002</v>
      </c>
      <c r="D90" s="73">
        <v>365.3</v>
      </c>
      <c r="E90" s="73">
        <v>347</v>
      </c>
      <c r="F90" s="73">
        <v>260.89999999999998</v>
      </c>
      <c r="G90" s="73">
        <v>288</v>
      </c>
      <c r="H90" s="87">
        <v>199.2</v>
      </c>
    </row>
    <row r="91" spans="2:8" x14ac:dyDescent="0.25">
      <c r="B91" s="86" t="s">
        <v>68</v>
      </c>
      <c r="C91" s="73">
        <v>436.9</v>
      </c>
      <c r="D91" s="73">
        <v>404.7</v>
      </c>
      <c r="E91" s="73">
        <v>357.5</v>
      </c>
      <c r="F91" s="73">
        <v>377</v>
      </c>
      <c r="G91" s="73">
        <v>258</v>
      </c>
      <c r="H91" s="87">
        <v>291</v>
      </c>
    </row>
    <row r="92" spans="2:8" x14ac:dyDescent="0.25">
      <c r="B92" s="86" t="s">
        <v>69</v>
      </c>
      <c r="C92" s="73">
        <v>15.1</v>
      </c>
      <c r="D92" s="73">
        <v>15.6</v>
      </c>
      <c r="E92" s="73">
        <v>23.4</v>
      </c>
      <c r="F92" s="73">
        <v>38.1</v>
      </c>
      <c r="G92" s="73">
        <v>27</v>
      </c>
      <c r="H92" s="87">
        <v>33.200000000000003</v>
      </c>
    </row>
    <row r="93" spans="2:8" x14ac:dyDescent="0.25">
      <c r="B93" s="86" t="s">
        <v>70</v>
      </c>
      <c r="C93" s="73">
        <v>46</v>
      </c>
      <c r="D93" s="73">
        <v>56.6</v>
      </c>
      <c r="E93" s="73">
        <v>58.7</v>
      </c>
      <c r="F93" s="73">
        <v>57.5</v>
      </c>
      <c r="G93" s="73">
        <v>41.9</v>
      </c>
      <c r="H93" s="87">
        <v>28.5</v>
      </c>
    </row>
    <row r="94" spans="2:8" x14ac:dyDescent="0.25">
      <c r="B94" s="86" t="s">
        <v>71</v>
      </c>
      <c r="C94" s="73">
        <v>32.6</v>
      </c>
      <c r="D94" s="73">
        <v>38.200000000000003</v>
      </c>
      <c r="E94" s="73">
        <v>41.6</v>
      </c>
      <c r="F94" s="73">
        <v>42</v>
      </c>
      <c r="G94" s="73">
        <v>33</v>
      </c>
      <c r="H94" s="87">
        <v>26.7</v>
      </c>
    </row>
    <row r="95" spans="2:8" x14ac:dyDescent="0.25">
      <c r="B95" s="86" t="s">
        <v>72</v>
      </c>
      <c r="C95" s="73">
        <v>87.9</v>
      </c>
      <c r="D95" s="73">
        <v>74.599999999999994</v>
      </c>
      <c r="E95" s="73">
        <v>122.6</v>
      </c>
      <c r="F95" s="73">
        <v>159.5</v>
      </c>
      <c r="G95" s="73">
        <v>76.7</v>
      </c>
      <c r="H95" s="87">
        <v>46.8</v>
      </c>
    </row>
    <row r="96" spans="2:8" x14ac:dyDescent="0.25">
      <c r="B96" s="86" t="s">
        <v>73</v>
      </c>
      <c r="C96" s="73">
        <v>57.4</v>
      </c>
      <c r="D96" s="73">
        <v>49.7</v>
      </c>
      <c r="E96" s="73">
        <v>76.2</v>
      </c>
      <c r="F96" s="73">
        <v>46.9</v>
      </c>
      <c r="G96" s="73">
        <v>46.2</v>
      </c>
      <c r="H96" s="87">
        <v>48.4</v>
      </c>
    </row>
    <row r="97" spans="2:8" x14ac:dyDescent="0.25">
      <c r="B97" s="86" t="s">
        <v>74</v>
      </c>
      <c r="C97" s="73">
        <v>30.1</v>
      </c>
      <c r="D97" s="73">
        <v>27.3</v>
      </c>
      <c r="E97" s="73">
        <v>39.799999999999997</v>
      </c>
      <c r="F97" s="73">
        <v>30.3</v>
      </c>
      <c r="G97" s="73">
        <v>23.5</v>
      </c>
      <c r="H97" s="87">
        <v>26.5</v>
      </c>
    </row>
    <row r="98" spans="2:8" x14ac:dyDescent="0.25">
      <c r="B98" s="86" t="s">
        <v>75</v>
      </c>
      <c r="C98" s="73">
        <v>53.8</v>
      </c>
      <c r="D98" s="73">
        <v>28.4</v>
      </c>
      <c r="E98" s="73">
        <v>55.7</v>
      </c>
      <c r="F98" s="73">
        <v>34.9</v>
      </c>
      <c r="G98" s="73">
        <v>64.2</v>
      </c>
      <c r="H98" s="87">
        <v>37.6</v>
      </c>
    </row>
    <row r="99" spans="2:8" x14ac:dyDescent="0.25">
      <c r="B99" s="86" t="s">
        <v>76</v>
      </c>
      <c r="C99" s="73">
        <v>65.900000000000006</v>
      </c>
      <c r="D99" s="73">
        <v>63.4</v>
      </c>
      <c r="E99" s="73">
        <v>91.8</v>
      </c>
      <c r="F99" s="73">
        <v>44.4</v>
      </c>
      <c r="G99" s="73">
        <v>51.3</v>
      </c>
      <c r="H99" s="87">
        <v>43.2</v>
      </c>
    </row>
    <row r="100" spans="2:8" x14ac:dyDescent="0.25">
      <c r="B100" s="86" t="s">
        <v>77</v>
      </c>
      <c r="C100" s="73">
        <v>17.399999999999999</v>
      </c>
      <c r="D100" s="73">
        <v>14.6</v>
      </c>
      <c r="E100" s="73">
        <v>25.4</v>
      </c>
      <c r="F100" s="73">
        <v>12.8</v>
      </c>
      <c r="G100" s="73">
        <v>11.8</v>
      </c>
      <c r="H100" s="87">
        <v>10.3</v>
      </c>
    </row>
    <row r="101" spans="2:8" x14ac:dyDescent="0.25">
      <c r="B101" s="86" t="s">
        <v>78</v>
      </c>
      <c r="C101" s="73">
        <v>78.3</v>
      </c>
      <c r="D101" s="73">
        <v>47.9</v>
      </c>
      <c r="E101" s="73">
        <v>39.5</v>
      </c>
      <c r="F101" s="73">
        <v>44.6</v>
      </c>
      <c r="G101" s="73">
        <v>28.1</v>
      </c>
      <c r="H101" s="87">
        <v>39</v>
      </c>
    </row>
    <row r="102" spans="2:8" x14ac:dyDescent="0.25">
      <c r="B102" s="86" t="s">
        <v>79</v>
      </c>
      <c r="C102" s="73">
        <v>94.6</v>
      </c>
      <c r="D102" s="73">
        <v>66.599999999999994</v>
      </c>
      <c r="E102" s="73">
        <v>94.5</v>
      </c>
      <c r="F102" s="73">
        <v>28.3</v>
      </c>
      <c r="G102" s="73">
        <v>64.599999999999994</v>
      </c>
      <c r="H102" s="87">
        <v>99.6</v>
      </c>
    </row>
    <row r="103" spans="2:8" x14ac:dyDescent="0.25">
      <c r="B103" s="86" t="s">
        <v>80</v>
      </c>
      <c r="C103" s="73">
        <v>37.4</v>
      </c>
      <c r="D103" s="73">
        <v>24.1</v>
      </c>
      <c r="E103" s="73">
        <v>22</v>
      </c>
      <c r="F103" s="73">
        <v>49.2</v>
      </c>
      <c r="G103" s="73">
        <v>8.3000000000000007</v>
      </c>
      <c r="H103" s="87">
        <v>16.600000000000001</v>
      </c>
    </row>
    <row r="104" spans="2:8" ht="15.75" thickBot="1" x14ac:dyDescent="0.3">
      <c r="B104" s="92" t="s">
        <v>81</v>
      </c>
      <c r="C104" s="93">
        <v>39.5</v>
      </c>
      <c r="D104" s="93">
        <v>68.599999999999994</v>
      </c>
      <c r="E104" s="93">
        <v>39.4</v>
      </c>
      <c r="F104" s="93">
        <v>46.8</v>
      </c>
      <c r="G104" s="93">
        <v>30.9</v>
      </c>
      <c r="H104" s="94">
        <v>26.3</v>
      </c>
    </row>
    <row r="105" spans="2:8" ht="15.75" thickBot="1" x14ac:dyDescent="0.3"/>
    <row r="106" spans="2:8" x14ac:dyDescent="0.25">
      <c r="B106" s="74" t="s">
        <v>264</v>
      </c>
      <c r="C106" s="845" t="s">
        <v>248</v>
      </c>
      <c r="D106" s="845"/>
      <c r="E106" s="845"/>
      <c r="F106" s="845"/>
      <c r="G106" s="845"/>
      <c r="H106" s="846"/>
    </row>
    <row r="107" spans="2:8" ht="45.75" thickBot="1" x14ac:dyDescent="0.3">
      <c r="B107" s="100"/>
      <c r="C107" s="101" t="s">
        <v>252</v>
      </c>
      <c r="D107" s="101" t="s">
        <v>253</v>
      </c>
      <c r="E107" s="101" t="s">
        <v>260</v>
      </c>
      <c r="F107" s="101" t="s">
        <v>261</v>
      </c>
      <c r="G107" s="101" t="s">
        <v>257</v>
      </c>
      <c r="H107" s="102" t="s">
        <v>262</v>
      </c>
    </row>
    <row r="108" spans="2:8" x14ac:dyDescent="0.25">
      <c r="B108" s="82" t="s">
        <v>66</v>
      </c>
      <c r="C108" s="83">
        <v>233.9</v>
      </c>
      <c r="D108" s="83">
        <v>257.3</v>
      </c>
      <c r="E108" s="83">
        <v>257.5</v>
      </c>
      <c r="F108" s="83">
        <v>358.4</v>
      </c>
      <c r="G108" s="83">
        <v>155.9</v>
      </c>
      <c r="H108" s="84">
        <v>107.3</v>
      </c>
    </row>
    <row r="109" spans="2:8" x14ac:dyDescent="0.25">
      <c r="B109" s="86" t="s">
        <v>67</v>
      </c>
      <c r="C109" s="73">
        <v>233.8</v>
      </c>
      <c r="D109" s="73">
        <v>136.80000000000001</v>
      </c>
      <c r="E109" s="73">
        <v>199.9</v>
      </c>
      <c r="F109" s="73">
        <v>294.3</v>
      </c>
      <c r="G109" s="73">
        <v>278.7</v>
      </c>
      <c r="H109" s="87">
        <v>193</v>
      </c>
    </row>
    <row r="110" spans="2:8" x14ac:dyDescent="0.25">
      <c r="B110" s="86" t="s">
        <v>68</v>
      </c>
      <c r="C110" s="73">
        <v>452.7</v>
      </c>
      <c r="D110" s="73">
        <v>433.6</v>
      </c>
      <c r="E110" s="73">
        <v>426.7</v>
      </c>
      <c r="F110" s="73">
        <v>820.6</v>
      </c>
      <c r="G110" s="73">
        <v>327.2</v>
      </c>
      <c r="H110" s="87">
        <v>311.8</v>
      </c>
    </row>
    <row r="111" spans="2:8" x14ac:dyDescent="0.25">
      <c r="B111" s="86" t="s">
        <v>69</v>
      </c>
      <c r="C111" s="73">
        <v>34.4</v>
      </c>
      <c r="D111" s="73">
        <v>37.299999999999997</v>
      </c>
      <c r="E111" s="73">
        <v>11.6</v>
      </c>
      <c r="F111" s="73">
        <v>20.3</v>
      </c>
      <c r="G111" s="73">
        <v>28</v>
      </c>
      <c r="H111" s="87">
        <v>54.1</v>
      </c>
    </row>
    <row r="112" spans="2:8" x14ac:dyDescent="0.25">
      <c r="B112" s="86" t="s">
        <v>70</v>
      </c>
      <c r="C112" s="73">
        <v>50</v>
      </c>
      <c r="D112" s="73">
        <v>49.3</v>
      </c>
      <c r="E112" s="73">
        <v>62.5</v>
      </c>
      <c r="F112" s="73">
        <v>56.9</v>
      </c>
      <c r="G112" s="73">
        <v>44.4</v>
      </c>
      <c r="H112" s="87">
        <v>35.6</v>
      </c>
    </row>
    <row r="113" spans="2:8" x14ac:dyDescent="0.25">
      <c r="B113" s="86" t="s">
        <v>71</v>
      </c>
      <c r="C113" s="73">
        <v>34.799999999999997</v>
      </c>
      <c r="D113" s="73">
        <v>30.4</v>
      </c>
      <c r="E113" s="73">
        <v>44.7</v>
      </c>
      <c r="F113" s="73">
        <v>36.6</v>
      </c>
      <c r="G113" s="73">
        <v>27</v>
      </c>
      <c r="H113" s="87">
        <v>28.4</v>
      </c>
    </row>
    <row r="114" spans="2:8" x14ac:dyDescent="0.25">
      <c r="B114" s="86" t="s">
        <v>72</v>
      </c>
      <c r="C114" s="73">
        <v>87.8</v>
      </c>
      <c r="D114" s="73">
        <v>84.8</v>
      </c>
      <c r="E114" s="73">
        <v>110.1</v>
      </c>
      <c r="F114" s="73">
        <v>115</v>
      </c>
      <c r="G114" s="73">
        <v>83.1</v>
      </c>
      <c r="H114" s="87">
        <v>87.5</v>
      </c>
    </row>
    <row r="115" spans="2:8" x14ac:dyDescent="0.25">
      <c r="B115" s="86" t="s">
        <v>73</v>
      </c>
      <c r="C115" s="73">
        <v>52.3</v>
      </c>
      <c r="D115" s="73">
        <v>53.4</v>
      </c>
      <c r="E115" s="73">
        <v>51.6</v>
      </c>
      <c r="F115" s="73">
        <v>38.299999999999997</v>
      </c>
      <c r="G115" s="73">
        <v>32.1</v>
      </c>
      <c r="H115" s="87">
        <v>45.3</v>
      </c>
    </row>
    <row r="116" spans="2:8" x14ac:dyDescent="0.25">
      <c r="B116" s="86" t="s">
        <v>74</v>
      </c>
      <c r="C116" s="73">
        <v>31.3</v>
      </c>
      <c r="D116" s="73">
        <v>26.6</v>
      </c>
      <c r="E116" s="73">
        <v>30.5</v>
      </c>
      <c r="F116" s="73">
        <v>30.7</v>
      </c>
      <c r="G116" s="73">
        <v>21.1</v>
      </c>
      <c r="H116" s="87">
        <v>24.7</v>
      </c>
    </row>
    <row r="117" spans="2:8" x14ac:dyDescent="0.25">
      <c r="B117" s="86" t="s">
        <v>75</v>
      </c>
      <c r="C117" s="73">
        <v>73.599999999999994</v>
      </c>
      <c r="D117" s="73">
        <v>20.9</v>
      </c>
      <c r="E117" s="73">
        <v>99.4</v>
      </c>
      <c r="F117" s="73">
        <v>56.1</v>
      </c>
      <c r="G117" s="73">
        <v>64.2</v>
      </c>
      <c r="H117" s="87">
        <v>85.5</v>
      </c>
    </row>
    <row r="118" spans="2:8" x14ac:dyDescent="0.25">
      <c r="B118" s="86" t="s">
        <v>76</v>
      </c>
      <c r="C118" s="73">
        <v>84.1</v>
      </c>
      <c r="D118" s="73">
        <v>99.4</v>
      </c>
      <c r="E118" s="73">
        <v>117.3</v>
      </c>
      <c r="F118" s="73">
        <v>107.7</v>
      </c>
      <c r="G118" s="73">
        <v>60.5</v>
      </c>
      <c r="H118" s="87">
        <v>51.4</v>
      </c>
    </row>
    <row r="119" spans="2:8" x14ac:dyDescent="0.25">
      <c r="B119" s="86" t="s">
        <v>77</v>
      </c>
      <c r="C119" s="73">
        <v>16.899999999999999</v>
      </c>
      <c r="D119" s="73">
        <v>18.3</v>
      </c>
      <c r="E119" s="73">
        <v>18.2</v>
      </c>
      <c r="F119" s="73">
        <v>14.9</v>
      </c>
      <c r="G119" s="73">
        <v>9.1999999999999993</v>
      </c>
      <c r="H119" s="87">
        <v>9.4</v>
      </c>
    </row>
    <row r="120" spans="2:8" x14ac:dyDescent="0.25">
      <c r="B120" s="86" t="s">
        <v>78</v>
      </c>
      <c r="C120" s="73">
        <v>75.7</v>
      </c>
      <c r="D120" s="73">
        <v>42.7</v>
      </c>
      <c r="E120" s="73">
        <v>45.9</v>
      </c>
      <c r="F120" s="73">
        <v>37.700000000000003</v>
      </c>
      <c r="G120" s="73">
        <v>19.399999999999999</v>
      </c>
      <c r="H120" s="87">
        <v>54.9</v>
      </c>
    </row>
    <row r="121" spans="2:8" x14ac:dyDescent="0.25">
      <c r="B121" s="86" t="s">
        <v>79</v>
      </c>
      <c r="C121" s="73">
        <v>86.1</v>
      </c>
      <c r="D121" s="73">
        <v>40.4</v>
      </c>
      <c r="E121" s="73">
        <v>98.4</v>
      </c>
      <c r="F121" s="73">
        <v>81.599999999999994</v>
      </c>
      <c r="G121" s="73">
        <v>92.4</v>
      </c>
      <c r="H121" s="87">
        <v>33</v>
      </c>
    </row>
    <row r="122" spans="2:8" x14ac:dyDescent="0.25">
      <c r="B122" s="86" t="s">
        <v>80</v>
      </c>
      <c r="C122" s="73">
        <v>38.6</v>
      </c>
      <c r="D122" s="73">
        <v>22.6</v>
      </c>
      <c r="E122" s="73">
        <v>24.8</v>
      </c>
      <c r="F122" s="73">
        <v>28.8</v>
      </c>
      <c r="G122" s="73">
        <v>13.8</v>
      </c>
      <c r="H122" s="87">
        <v>32.4</v>
      </c>
    </row>
    <row r="123" spans="2:8" ht="15.75" thickBot="1" x14ac:dyDescent="0.3">
      <c r="B123" s="92" t="s">
        <v>81</v>
      </c>
      <c r="C123" s="93">
        <v>46.5</v>
      </c>
      <c r="D123" s="93">
        <v>62.2</v>
      </c>
      <c r="E123" s="93">
        <v>54.6</v>
      </c>
      <c r="F123" s="93">
        <v>56.5</v>
      </c>
      <c r="G123" s="93">
        <v>40.1</v>
      </c>
      <c r="H123" s="94">
        <v>28.3</v>
      </c>
    </row>
  </sheetData>
  <sheetProtection algorithmName="SHA-512" hashValue="sTQ1e0oZdQ5/h6motPxkQcAbJV3OrAqeo+XdxrBs7/5aLrCsrwzp52iw9rmf7ZupR58u0iEUDECr8X9NabaNEA==" saltValue="Ip24Exnrn3fSqV8/kcZ8RA==" spinCount="100000" sheet="1" objects="1" scenarios="1"/>
  <mergeCells count="6">
    <mergeCell ref="C106:H106"/>
    <mergeCell ref="C11:H11"/>
    <mergeCell ref="C30:H30"/>
    <mergeCell ref="C49:H49"/>
    <mergeCell ref="C68:H68"/>
    <mergeCell ref="C87:H8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b74965-d67d-49c6-96fd-377a009da05c">A32XJXUQP6UV-1275028740-3291462</_dlc_DocId>
    <_dlc_DocIdUrl xmlns="d3b74965-d67d-49c6-96fd-377a009da05c">
      <Url>https://thepropertygrouplimited.sharepoint.com/sites/operations/_layouts/15/DocIdRedir.aspx?ID=A32XJXUQP6UV-1275028740-3291462</Url>
      <Description>A32XJXUQP6UV-1275028740-3291462</Description>
    </_dlc_DocIdUrl>
    <lcf76f155ced4ddcb4097134ff3c332f xmlns="eb40bc1c-3381-429a-9ae7-842aea39bc78">
      <Terms xmlns="http://schemas.microsoft.com/office/infopath/2007/PartnerControls"/>
    </lcf76f155ced4ddcb4097134ff3c332f>
    <TaxCatchAll xmlns="d3b74965-d67d-49c6-96fd-377a009da0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D9762FF8314B469E66CE6AA71751E3" ma:contentTypeVersion="16" ma:contentTypeDescription="Create a new document." ma:contentTypeScope="" ma:versionID="9b272d824eef2e085c58b8ef17d25327">
  <xsd:schema xmlns:xsd="http://www.w3.org/2001/XMLSchema" xmlns:xs="http://www.w3.org/2001/XMLSchema" xmlns:p="http://schemas.microsoft.com/office/2006/metadata/properties" xmlns:ns2="eb40bc1c-3381-429a-9ae7-842aea39bc78" xmlns:ns3="d3b74965-d67d-49c6-96fd-377a009da05c" targetNamespace="http://schemas.microsoft.com/office/2006/metadata/properties" ma:root="true" ma:fieldsID="e40bc4f3b5acc8dbec02b5346a90cfaf" ns2:_="" ns3:_="">
    <xsd:import namespace="eb40bc1c-3381-429a-9ae7-842aea39bc78"/>
    <xsd:import namespace="d3b74965-d67d-49c6-96fd-377a009da0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bc1c-3381-429a-9ae7-842aea39bc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4bf4423-53a9-437d-a884-c6c3f3a654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74965-d67d-49c6-96fd-377a009da05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c8ce541-9b12-4d43-85be-455c1143c627}" ma:internalName="TaxCatchAll" ma:showField="CatchAllData" ma:web="d3b74965-d67d-49c6-96fd-377a009da0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08C2E-009A-4D75-BA57-50ADBFB64978}">
  <ds:schemaRefs>
    <ds:schemaRef ds:uri="http://purl.org/dc/elements/1.1/"/>
    <ds:schemaRef ds:uri="http://schemas.microsoft.com/office/2006/metadata/properties"/>
    <ds:schemaRef ds:uri="eb40bc1c-3381-429a-9ae7-842aea39bc78"/>
    <ds:schemaRef ds:uri="d3b74965-d67d-49c6-96fd-377a009da05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FECE6A9-D0A2-45AC-A89F-E4A5AD227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bc1c-3381-429a-9ae7-842aea39bc78"/>
    <ds:schemaRef ds:uri="d3b74965-d67d-49c6-96fd-377a009da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A0B29F-6CDD-4D02-9402-5D4B70C2AAA2}">
  <ds:schemaRefs>
    <ds:schemaRef ds:uri="http://schemas.microsoft.com/sharepoint/events"/>
  </ds:schemaRefs>
</ds:datastoreItem>
</file>

<file path=customXml/itemProps4.xml><?xml version="1.0" encoding="utf-8"?>
<ds:datastoreItem xmlns:ds="http://schemas.openxmlformats.org/officeDocument/2006/customXml" ds:itemID="{202556D7-3273-46D2-83EF-880402BB52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Landing Page</vt:lpstr>
      <vt:lpstr>AHM - Rent to Buy</vt:lpstr>
      <vt:lpstr>Preliminary Feasibility</vt:lpstr>
      <vt:lpstr>Rental Calculations</vt:lpstr>
      <vt:lpstr>Detailed Feasibility Inputs</vt:lpstr>
      <vt:lpstr>Detailed Feasibility</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Brownlie</dc:creator>
  <cp:keywords/>
  <dc:description/>
  <cp:lastModifiedBy>Hayley Brownlie</cp:lastModifiedBy>
  <cp:revision/>
  <cp:lastPrinted>2021-10-06T17:52:11Z</cp:lastPrinted>
  <dcterms:created xsi:type="dcterms:W3CDTF">2021-09-23T05:40:11Z</dcterms:created>
  <dcterms:modified xsi:type="dcterms:W3CDTF">2022-10-05T08:33:27Z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0x01010089D9762FF8314B469E66CE6AA71751E3</vt:lpwstr>
  </property>
  <property fmtid="{D5CDD505-2E9C-101B-9397-08002B2CF9AE}" pid="3" name="_dlc_DocIdItemGuid">
    <vt:lpwstr>3b21a360-2549-4846-9ff2-edb0bba98dbe</vt:lpwstr>
  </property>
  <property fmtid="{D5CDD505-2E9C-101B-9397-08002B2CF9AE}" pid="4" name="MediaServiceImageTags">
    <vt:lpwstr/>
  </property>
</Properties>
</file>