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docx" ContentType="application/vnd.openxmlformats-officedocument.wordprocessingml.document"/>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charts/chart2.xml" ContentType="application/vnd.openxmlformats-officedocument.drawingml.chart+xml"/>
  <Override PartName="/xl/drawings/drawing6.xml" ContentType="application/vnd.openxmlformats-officedocument.drawingml.chartshapes+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harts/chart3.xml" ContentType="application/vnd.openxmlformats-officedocument.drawingml.chart+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charts/style1.xml" ContentType="application/vnd.ms-office.chartstyle+xml"/>
  <Override PartName="/xl/charts/colors1.xml" ContentType="application/vnd.ms-office.chartcolorstyle+xml"/>
  <Override PartName="/xl/charts/style2.xml" ContentType="application/vnd.ms-office.chartstyle+xml"/>
  <Override PartName="/xl/charts/colors2.xml" ContentType="application/vnd.ms-office.chartcolorstyle+xml"/>
  <Override PartName="/xl/charts/colors3.xml" ContentType="application/vnd.ms-office.chartcolorstyle+xml"/>
  <Override PartName="/xl/charts/style3.xml" ContentType="application/vnd.ms-office.chartstyl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bookViews>
    <workbookView xWindow="0" yWindow="468" windowWidth="29040" windowHeight="13176" tabRatio="867"/>
  </bookViews>
  <sheets>
    <sheet name="Model Overview " sheetId="27" r:id="rId1"/>
    <sheet name="High-level Assumptions" sheetId="28" r:id="rId2"/>
    <sheet name="Getting Started" sheetId="29" r:id="rId3"/>
    <sheet name="Feasibility chart workings" sheetId="30" state="hidden" r:id="rId4"/>
    <sheet name="Financial assumptions" sheetId="31" r:id="rId5"/>
    <sheet name=" Land dev. model&gt;&gt;&gt;" sheetId="8" r:id="rId6"/>
    <sheet name="Key Inputs &amp; Outputs (LD)" sheetId="25" r:id="rId7"/>
    <sheet name="1 Civil works" sheetId="10" r:id="rId8"/>
    <sheet name="2 Fees and charges" sheetId="13" r:id="rId9"/>
    <sheet name="3 Section price gradient" sheetId="32" r:id="rId10"/>
    <sheet name="Building dev. model&gt;&gt;&gt;" sheetId="7" r:id="rId11"/>
    <sheet name="Key Inputs &amp; Outputs (BD)" sheetId="1" r:id="rId12"/>
    <sheet name="1 Site preparation" sheetId="2" r:id="rId13"/>
    <sheet name="2 Construction" sheetId="3" r:id="rId14"/>
    <sheet name="3 Ancillary" sheetId="4" r:id="rId15"/>
  </sheets>
  <externalReferences>
    <externalReference r:id="rId16"/>
    <externalReference r:id="rId17"/>
    <externalReference r:id="rId18"/>
    <externalReference r:id="rId19"/>
  </externalReferences>
  <definedNames>
    <definedName name="_Veh1" localSheetId="2">#REF!</definedName>
    <definedName name="_Veh1" localSheetId="1">#REF!</definedName>
    <definedName name="_Veh1" localSheetId="0">#REF!</definedName>
    <definedName name="ActualScale" localSheetId="2">#REF!</definedName>
    <definedName name="ActualScale" localSheetId="1">#REF!</definedName>
    <definedName name="ActualScale" localSheetId="0">#REF!</definedName>
    <definedName name="Animation_Range" localSheetId="2">#REF!</definedName>
    <definedName name="Animation_Range" localSheetId="1">#REF!</definedName>
    <definedName name="Animation_Range" localSheetId="0">#REF!</definedName>
    <definedName name="Arrivals" localSheetId="2">#REF!</definedName>
    <definedName name="Arrivals" localSheetId="1">#REF!</definedName>
    <definedName name="Arrivals" localSheetId="0">#REF!</definedName>
    <definedName name="BEW_HBY" localSheetId="2">#REF!</definedName>
    <definedName name="BEW_HBY" localSheetId="1">#REF!</definedName>
    <definedName name="BEW_HBY" localSheetId="0">#REF!</definedName>
    <definedName name="BLL_NOR" localSheetId="2">#REF!</definedName>
    <definedName name="BLL_NOR" localSheetId="1">#REF!</definedName>
    <definedName name="BLL_NOR" localSheetId="0">#REF!</definedName>
    <definedName name="CAS_CBK" localSheetId="2">#REF!</definedName>
    <definedName name="CAS_CBK" localSheetId="1">#REF!</definedName>
    <definedName name="CAS_CBK" localSheetId="0">#REF!</definedName>
    <definedName name="CBK_EPG" localSheetId="2">#REF!</definedName>
    <definedName name="CBK_EPG" localSheetId="1">#REF!</definedName>
    <definedName name="CBK_EPG" localSheetId="0">#REF!</definedName>
    <definedName name="ChartOrigin" localSheetId="2">#REF!</definedName>
    <definedName name="ChartOrigin" localSheetId="1">#REF!</definedName>
    <definedName name="ChartOrigin" localSheetId="0">#REF!</definedName>
    <definedName name="ChartScale" localSheetId="2">#REF!</definedName>
    <definedName name="ChartScale" localSheetId="1">#REF!</definedName>
    <definedName name="ChartScale" localSheetId="0">#REF!</definedName>
    <definedName name="CHW_SNL" localSheetId="2">#REF!</definedName>
    <definedName name="CHW_SNL" localSheetId="1">#REF!</definedName>
    <definedName name="CHW_SNL" localSheetId="0">#REF!</definedName>
    <definedName name="ColHeader" localSheetId="2">#REF!</definedName>
    <definedName name="ColHeader" localSheetId="1">#REF!</definedName>
    <definedName name="ColHeader" localSheetId="0">#REF!</definedName>
    <definedName name="Corners" localSheetId="2">#REF!</definedName>
    <definedName name="Corners" localSheetId="1">#REF!</definedName>
    <definedName name="Corners" localSheetId="0">#REF!</definedName>
    <definedName name="CTable" localSheetId="2">#REF!</definedName>
    <definedName name="CTable" localSheetId="1">#REF!</definedName>
    <definedName name="CTable" localSheetId="0">#REF!</definedName>
    <definedName name="CUD_RHL" localSheetId="2">#REF!</definedName>
    <definedName name="CUD_RHL" localSheetId="1">#REF!</definedName>
    <definedName name="CUD_RHL" localSheetId="0">#REF!</definedName>
    <definedName name="discount_rates" localSheetId="2">'[1]Valuation parameters'!$B$13:$B$15</definedName>
    <definedName name="discount_rates" localSheetId="1">'[1]Valuation parameters'!$B$13:$B$15</definedName>
    <definedName name="discount_rates" localSheetId="0">'[1]Valuation parameters'!$B$13:$B$15</definedName>
    <definedName name="EPG_EWD" localSheetId="2">#REF!</definedName>
    <definedName name="EPG_EWD" localSheetId="1">#REF!</definedName>
    <definedName name="EPG_EWD" localSheetId="0">#REF!</definedName>
    <definedName name="EPG_MQU" localSheetId="2">#REF!</definedName>
    <definedName name="EPG_MQU" localSheetId="1">#REF!</definedName>
    <definedName name="EPG_MQU" localSheetId="0">#REF!</definedName>
    <definedName name="evaluation_period" localSheetId="2">'[1]Valuation parameters'!$B$8:$B$10</definedName>
    <definedName name="evaluation_period" localSheetId="1">'[1]Valuation parameters'!$B$8:$B$10</definedName>
    <definedName name="evaluation_period" localSheetId="0">'[1]Valuation parameters'!$B$8:$B$10</definedName>
    <definedName name="EWD_MWK" localSheetId="2">#REF!</definedName>
    <definedName name="EWD_MWK" localSheetId="1">#REF!</definedName>
    <definedName name="EWD_MWK" localSheetId="0">#REF!</definedName>
    <definedName name="GDO_CHW" localSheetId="2">#REF!</definedName>
    <definedName name="GDO_CHW" localSheetId="1">#REF!</definedName>
    <definedName name="GDO_CHW" localSheetId="0">#REF!</definedName>
    <definedName name="GOS_WOY" localSheetId="2">#REF!</definedName>
    <definedName name="GOS_WOY" localSheetId="1">#REF!</definedName>
    <definedName name="GOS_WOY" localSheetId="0">#REF!</definedName>
    <definedName name="GravityTable" localSheetId="2">#REF!</definedName>
    <definedName name="GravityTable" localSheetId="1">#REF!</definedName>
    <definedName name="GravityTable" localSheetId="0">#REF!</definedName>
    <definedName name="HBY_PLL" localSheetId="2">#REF!</definedName>
    <definedName name="HBY_PLL" localSheetId="1">#REF!</definedName>
    <definedName name="HBY_PLL" localSheetId="0">#REF!</definedName>
    <definedName name="HBY_TMU" localSheetId="2">#REF!</definedName>
    <definedName name="HBY_TMU" localSheetId="1">#REF!</definedName>
    <definedName name="HBY_TMU" localSheetId="0">#REF!</definedName>
    <definedName name="HBY_TUM" localSheetId="2">#REF!</definedName>
    <definedName name="HBY_TUM" localSheetId="1">#REF!</definedName>
    <definedName name="HBY_TUM" localSheetId="0">#REF!</definedName>
    <definedName name="HIL_CAS" localSheetId="2">#REF!</definedName>
    <definedName name="HIL_CAS" localSheetId="1">#REF!</definedName>
    <definedName name="HIL_CAS" localSheetId="0">#REF!</definedName>
    <definedName name="KLY_BLL" localSheetId="2">#REF!</definedName>
    <definedName name="KLY_BLL" localSheetId="1">#REF!</definedName>
    <definedName name="KLY_BLL" localSheetId="0">#REF!</definedName>
    <definedName name="LaneDistData" localSheetId="2">#REF!</definedName>
    <definedName name="LaneDistData" localSheetId="1">#REF!</definedName>
    <definedName name="LaneDistData" localSheetId="0">#REF!</definedName>
    <definedName name="LineSpec" localSheetId="2">#REF!</definedName>
    <definedName name="LineSpec" localSheetId="1">#REF!</definedName>
    <definedName name="LineSpec" localSheetId="0">#REF!</definedName>
    <definedName name="LineValue" localSheetId="2">#REF!</definedName>
    <definedName name="LineValue" localSheetId="1">#REF!</definedName>
    <definedName name="LineValue" localSheetId="0">#REF!</definedName>
    <definedName name="LinkTable" localSheetId="2">#REF!</definedName>
    <definedName name="LinkTable" localSheetId="1">#REF!</definedName>
    <definedName name="LinkTable" localSheetId="0">#REF!</definedName>
    <definedName name="LoadingTable" localSheetId="2">#REF!</definedName>
    <definedName name="LoadingTable" localSheetId="1">#REF!</definedName>
    <definedName name="LoadingTable" localSheetId="0">#REF!</definedName>
    <definedName name="MQP_NRY" localSheetId="2">#REF!</definedName>
    <definedName name="MQP_NRY" localSheetId="1">#REF!</definedName>
    <definedName name="MQP_NRY" localSheetId="0">#REF!</definedName>
    <definedName name="MQU_MQP" localSheetId="2">#REF!</definedName>
    <definedName name="MQU_MQP" localSheetId="1">#REF!</definedName>
    <definedName name="MQU_MQP" localSheetId="0">#REF!</definedName>
    <definedName name="MWK_SFD" localSheetId="2">#REF!</definedName>
    <definedName name="MWK_SFD" localSheetId="1">#REF!</definedName>
    <definedName name="MWK_SFD" localSheetId="0">#REF!</definedName>
    <definedName name="NOR_HIL" localSheetId="2">#REF!</definedName>
    <definedName name="NOR_HIL" localSheetId="1">#REF!</definedName>
    <definedName name="NOR_HIL" localSheetId="0">#REF!</definedName>
    <definedName name="NRY_CHW" localSheetId="2">#REF!</definedName>
    <definedName name="NRY_CHW" localSheetId="1">#REF!</definedName>
    <definedName name="NRY_CHW" localSheetId="0">#REF!</definedName>
    <definedName name="NSY_WYD" localSheetId="2">#REF!</definedName>
    <definedName name="NSY_WYD" localSheetId="1">#REF!</definedName>
    <definedName name="NSY_WYD" localSheetId="0">#REF!</definedName>
    <definedName name="NVehs" localSheetId="2">#REF!</definedName>
    <definedName name="NVehs" localSheetId="1">#REF!</definedName>
    <definedName name="NVehs" localSheetId="0">#REF!</definedName>
    <definedName name="ODTable" localSheetId="2">#REF!</definedName>
    <definedName name="ODTable" localSheetId="1">#REF!</definedName>
    <definedName name="ODTable" localSheetId="0">#REF!</definedName>
    <definedName name="Output" localSheetId="2">#REF!</definedName>
    <definedName name="Output" localSheetId="1">#REF!</definedName>
    <definedName name="Output" localSheetId="0">#REF!</definedName>
    <definedName name="OutputTable" localSheetId="2">'[2]Path Data'!#REF!</definedName>
    <definedName name="OutputTable" localSheetId="1">'[2]Path Data'!#REF!</definedName>
    <definedName name="OutputTable" localSheetId="0">'[2]Path Data'!#REF!</definedName>
    <definedName name="PlatTable" localSheetId="2">#REF!</definedName>
    <definedName name="PlatTable" localSheetId="1">#REF!</definedName>
    <definedName name="PlatTable" localSheetId="0">#REF!</definedName>
    <definedName name="PLL_EPG" localSheetId="2">#REF!</definedName>
    <definedName name="PLL_EPG" localSheetId="1">#REF!</definedName>
    <definedName name="PLL_EPG" localSheetId="0">#REF!</definedName>
    <definedName name="_xlnm.Print_Area" localSheetId="6">'Key Inputs &amp; Outputs (LD)'!$A$1:$L$51</definedName>
    <definedName name="QList" localSheetId="2">#REF!</definedName>
    <definedName name="QList" localSheetId="1">#REF!</definedName>
    <definedName name="QList" localSheetId="0">#REF!</definedName>
    <definedName name="Ranks" localSheetId="2">#REF!</definedName>
    <definedName name="Ranks" localSheetId="1">#REF!</definedName>
    <definedName name="Ranks" localSheetId="0">#REF!</definedName>
    <definedName name="RHL_KLY" localSheetId="2">#REF!</definedName>
    <definedName name="RHL_KLY" localSheetId="1">#REF!</definedName>
    <definedName name="RHL_KLY" localSheetId="0">#REF!</definedName>
    <definedName name="Roads" localSheetId="2">#REF!</definedName>
    <definedName name="Roads" localSheetId="1">#REF!</definedName>
    <definedName name="Roads" localSheetId="0">#REF!</definedName>
    <definedName name="Routes" localSheetId="2">#REF!</definedName>
    <definedName name="Routes" localSheetId="1">#REF!</definedName>
    <definedName name="Routes" localSheetId="0">#REF!</definedName>
    <definedName name="RowHeader" localSheetId="2">#REF!</definedName>
    <definedName name="RowHeader" localSheetId="1">#REF!</definedName>
    <definedName name="RowHeader" localSheetId="0">#REF!</definedName>
    <definedName name="SeatCap" localSheetId="2">#REF!</definedName>
    <definedName name="SeatCap" localSheetId="1">#REF!</definedName>
    <definedName name="SeatCap" localSheetId="0">#REF!</definedName>
    <definedName name="ServCode" localSheetId="2">#REF!</definedName>
    <definedName name="ServCode" localSheetId="1">#REF!</definedName>
    <definedName name="ServCode" localSheetId="0">#REF!</definedName>
    <definedName name="ServiceData" localSheetId="2">#REF!</definedName>
    <definedName name="ServiceData" localSheetId="1">#REF!</definedName>
    <definedName name="ServiceData" localSheetId="0">#REF!</definedName>
    <definedName name="ServiceOutput" localSheetId="2">'[3]Arrival Data'!#REF!</definedName>
    <definedName name="ServiceOutput" localSheetId="1">'[3]Arrival Data'!#REF!</definedName>
    <definedName name="ServiceOutput" localSheetId="0">'[3]Arrival Data'!#REF!</definedName>
    <definedName name="ServiceOutputTable" localSheetId="2">'[4]Service Output'!#REF!</definedName>
    <definedName name="ServiceOutputTable" localSheetId="1">'[4]Service Output'!#REF!</definedName>
    <definedName name="ServiceOutputTable" localSheetId="0">'[4]Service Output'!#REF!</definedName>
    <definedName name="Services" localSheetId="2">#REF!</definedName>
    <definedName name="Services" localSheetId="1">#REF!</definedName>
    <definedName name="Services" localSheetId="0">#REF!</definedName>
    <definedName name="ServiceSpec" localSheetId="2">#REF!</definedName>
    <definedName name="ServiceSpec" localSheetId="1">#REF!</definedName>
    <definedName name="ServiceSpec" localSheetId="0">#REF!</definedName>
    <definedName name="SFD_CNC" localSheetId="2">#REF!</definedName>
    <definedName name="SFD_CNC" localSheetId="1">#REF!</definedName>
    <definedName name="SFD_CNC" localSheetId="0">#REF!</definedName>
    <definedName name="SigApprData" localSheetId="2">#REF!</definedName>
    <definedName name="SigApprData" localSheetId="1">#REF!</definedName>
    <definedName name="SigApprData" localSheetId="0">#REF!</definedName>
    <definedName name="SigPhaseData" localSheetId="2">#REF!</definedName>
    <definedName name="SigPhaseData" localSheetId="1">#REF!</definedName>
    <definedName name="SigPhaseData" localSheetId="0">#REF!</definedName>
    <definedName name="SNL_NSY" localSheetId="2">#REF!</definedName>
    <definedName name="SNL_NSY" localSheetId="1">#REF!</definedName>
    <definedName name="SNL_NSY" localSheetId="0">#REF!</definedName>
    <definedName name="Station" localSheetId="2">#REF!</definedName>
    <definedName name="Station" localSheetId="1">#REF!</definedName>
    <definedName name="Station" localSheetId="0">#REF!</definedName>
    <definedName name="StnMatrix" localSheetId="2">#REF!</definedName>
    <definedName name="StnMatrix" localSheetId="1">#REF!</definedName>
    <definedName name="StnMatrix" localSheetId="0">#REF!</definedName>
    <definedName name="Table" localSheetId="2">#REF!</definedName>
    <definedName name="Table" localSheetId="1">#REF!</definedName>
    <definedName name="Table" localSheetId="0">#REF!</definedName>
    <definedName name="Timer" localSheetId="2">#REF!</definedName>
    <definedName name="Timer" localSheetId="1">#REF!</definedName>
    <definedName name="Timer" localSheetId="0">#REF!</definedName>
    <definedName name="TMU_GDO" localSheetId="2">#REF!</definedName>
    <definedName name="TMU_GDO" localSheetId="1">#REF!</definedName>
    <definedName name="TMU_GDO" localSheetId="0">#REF!</definedName>
    <definedName name="Turns" localSheetId="2">#REF!</definedName>
    <definedName name="Turns" localSheetId="1">#REF!</definedName>
    <definedName name="Turns" localSheetId="0">#REF!</definedName>
    <definedName name="VehData" localSheetId="2">#REF!</definedName>
    <definedName name="VehData" localSheetId="1">#REF!</definedName>
    <definedName name="VehData" localSheetId="0">#REF!</definedName>
    <definedName name="VehicleTypes" localSheetId="2">#REF!</definedName>
    <definedName name="VehicleTypes" localSheetId="1">#REF!</definedName>
    <definedName name="VehicleTypes" localSheetId="0">#REF!</definedName>
    <definedName name="WOY_BER" localSheetId="2">#REF!</definedName>
    <definedName name="WOY_BER" localSheetId="1">#REF!</definedName>
    <definedName name="WOY_BER" localSheetId="0">#REF!</definedName>
    <definedName name="WOY_BEW" localSheetId="2">#REF!</definedName>
    <definedName name="WOY_BEW" localSheetId="1">#REF!</definedName>
    <definedName name="WOY_BEW" localSheetId="0">#REF!</definedName>
    <definedName name="WYD_CNC" localSheetId="2">#REF!</definedName>
    <definedName name="WYD_CNC" localSheetId="1">#REF!</definedName>
    <definedName name="WYD_CNC" localSheetId="0">#REF!</definedName>
  </definedNames>
  <calcPr calcId="150001"/>
  <extLst>
    <ext xmlns:mx="http://schemas.microsoft.com/office/mac/excel/2008/main" uri="{7523E5D3-25F3-A5E0-1632-64F254C22452}">
      <mx:ArchID Flags="2"/>
    </ext>
  </extLst>
</workbook>
</file>

<file path=xl/calcChain.xml><?xml version="1.0" encoding="utf-8"?>
<calcChain xmlns="http://schemas.openxmlformats.org/spreadsheetml/2006/main">
  <c r="E14" i="1" l="1"/>
  <c r="J43" i="1"/>
  <c r="D8" i="2"/>
  <c r="E8" i="2"/>
  <c r="F8" i="2"/>
  <c r="G8" i="2"/>
  <c r="H8" i="2"/>
  <c r="F9" i="1"/>
  <c r="G9" i="1"/>
  <c r="H9" i="1"/>
  <c r="I9" i="1"/>
  <c r="J9" i="1"/>
  <c r="T8" i="2"/>
  <c r="Z8" i="2"/>
  <c r="D9" i="2"/>
  <c r="E9" i="2"/>
  <c r="F9" i="2"/>
  <c r="G9" i="2"/>
  <c r="H9" i="2"/>
  <c r="T9" i="2"/>
  <c r="Z9" i="2"/>
  <c r="T10" i="2"/>
  <c r="Z10" i="2"/>
  <c r="Z12" i="2"/>
  <c r="J44" i="1"/>
  <c r="J11" i="1"/>
  <c r="T8" i="3"/>
  <c r="Z8" i="3"/>
  <c r="AF8" i="3"/>
  <c r="J15" i="1"/>
  <c r="J22" i="1"/>
  <c r="T9" i="3"/>
  <c r="Z9" i="3"/>
  <c r="AF9" i="3"/>
  <c r="J24" i="1"/>
  <c r="T10" i="3"/>
  <c r="Z10" i="3"/>
  <c r="AF10" i="3"/>
  <c r="J23" i="1"/>
  <c r="J25" i="1"/>
  <c r="T11" i="3"/>
  <c r="Z11" i="3"/>
  <c r="AF11" i="3"/>
  <c r="J12" i="3"/>
  <c r="K12" i="3"/>
  <c r="L12" i="3"/>
  <c r="M12" i="3"/>
  <c r="N12" i="3"/>
  <c r="Z12" i="3"/>
  <c r="AF12" i="3"/>
  <c r="AF14" i="3"/>
  <c r="J45" i="1"/>
  <c r="T8" i="4"/>
  <c r="Z8" i="4"/>
  <c r="AF8" i="4"/>
  <c r="T9" i="4"/>
  <c r="Z9" i="4"/>
  <c r="AF9" i="4"/>
  <c r="T10" i="4"/>
  <c r="Z10" i="4"/>
  <c r="AF10" i="4"/>
  <c r="T11" i="4"/>
  <c r="Z11" i="4"/>
  <c r="AF11" i="4"/>
  <c r="T12" i="4"/>
  <c r="Z12" i="4"/>
  <c r="AF12" i="4"/>
  <c r="T13" i="4"/>
  <c r="Z13" i="4"/>
  <c r="AF13" i="4"/>
  <c r="T14" i="4"/>
  <c r="Z14" i="4"/>
  <c r="AF14" i="4"/>
  <c r="T15" i="4"/>
  <c r="Z15" i="4"/>
  <c r="AF15" i="4"/>
  <c r="T16" i="4"/>
  <c r="Z16" i="4"/>
  <c r="AF16" i="4"/>
  <c r="J17" i="4"/>
  <c r="K17" i="4"/>
  <c r="L17" i="4"/>
  <c r="M17" i="4"/>
  <c r="N17" i="4"/>
  <c r="Z14" i="3"/>
  <c r="Z17" i="4"/>
  <c r="AF17" i="4"/>
  <c r="J18" i="4"/>
  <c r="K18" i="4"/>
  <c r="L18" i="4"/>
  <c r="M18" i="4"/>
  <c r="N18" i="4"/>
  <c r="Z18" i="4"/>
  <c r="AF18" i="4"/>
  <c r="Z19" i="4"/>
  <c r="AF19" i="4"/>
  <c r="T20" i="4"/>
  <c r="J37" i="1"/>
  <c r="Z20" i="4"/>
  <c r="AF20" i="4"/>
  <c r="T21" i="4"/>
  <c r="Z21" i="4"/>
  <c r="AF21" i="4"/>
  <c r="Z22" i="4"/>
  <c r="AF22" i="4"/>
  <c r="AF24" i="4"/>
  <c r="J46" i="1"/>
  <c r="J47" i="1"/>
  <c r="I43" i="1"/>
  <c r="S8" i="2"/>
  <c r="Y8" i="2"/>
  <c r="S9" i="2"/>
  <c r="Y9" i="2"/>
  <c r="S10" i="2"/>
  <c r="Y10" i="2"/>
  <c r="Y12" i="2"/>
  <c r="I44" i="1"/>
  <c r="I11" i="1"/>
  <c r="S8" i="3"/>
  <c r="Y8" i="3"/>
  <c r="AE8" i="3"/>
  <c r="I15" i="1"/>
  <c r="I22" i="1"/>
  <c r="S9" i="3"/>
  <c r="Y9" i="3"/>
  <c r="AE9" i="3"/>
  <c r="I24" i="1"/>
  <c r="S10" i="3"/>
  <c r="Y10" i="3"/>
  <c r="AE10" i="3"/>
  <c r="I23" i="1"/>
  <c r="I25" i="1"/>
  <c r="S11" i="3"/>
  <c r="Y11" i="3"/>
  <c r="AE11" i="3"/>
  <c r="Y12" i="3"/>
  <c r="AE12" i="3"/>
  <c r="AE14" i="3"/>
  <c r="I45" i="1"/>
  <c r="S8" i="4"/>
  <c r="Y8" i="4"/>
  <c r="AE8" i="4"/>
  <c r="S9" i="4"/>
  <c r="Y9" i="4"/>
  <c r="AE9" i="4"/>
  <c r="S10" i="4"/>
  <c r="Y10" i="4"/>
  <c r="AE10" i="4"/>
  <c r="S11" i="4"/>
  <c r="Y11" i="4"/>
  <c r="AE11" i="4"/>
  <c r="S12" i="4"/>
  <c r="Y12" i="4"/>
  <c r="AE12" i="4"/>
  <c r="S13" i="4"/>
  <c r="Y13" i="4"/>
  <c r="AE13" i="4"/>
  <c r="S14" i="4"/>
  <c r="Y14" i="4"/>
  <c r="AE14" i="4"/>
  <c r="S15" i="4"/>
  <c r="Y15" i="4"/>
  <c r="AE15" i="4"/>
  <c r="S16" i="4"/>
  <c r="Y16" i="4"/>
  <c r="AE16" i="4"/>
  <c r="Y14" i="3"/>
  <c r="Y17" i="4"/>
  <c r="AE17" i="4"/>
  <c r="Y18" i="4"/>
  <c r="AE18" i="4"/>
  <c r="Y19" i="4"/>
  <c r="AE19" i="4"/>
  <c r="S20" i="4"/>
  <c r="I37" i="1"/>
  <c r="Y20" i="4"/>
  <c r="AE20" i="4"/>
  <c r="S21" i="4"/>
  <c r="Y21" i="4"/>
  <c r="AE21" i="4"/>
  <c r="Y22" i="4"/>
  <c r="AE22" i="4"/>
  <c r="AE24" i="4"/>
  <c r="I46" i="1"/>
  <c r="I47" i="1"/>
  <c r="H43" i="1"/>
  <c r="R8" i="2"/>
  <c r="X8" i="2"/>
  <c r="R9" i="2"/>
  <c r="X9" i="2"/>
  <c r="R10" i="2"/>
  <c r="X10" i="2"/>
  <c r="X12" i="2"/>
  <c r="H44" i="1"/>
  <c r="H11" i="1"/>
  <c r="R8" i="3"/>
  <c r="X8" i="3"/>
  <c r="AD8" i="3"/>
  <c r="H15" i="1"/>
  <c r="H22" i="1"/>
  <c r="R9" i="3"/>
  <c r="X9" i="3"/>
  <c r="AD9" i="3"/>
  <c r="H24" i="1"/>
  <c r="R10" i="3"/>
  <c r="X10" i="3"/>
  <c r="AD10" i="3"/>
  <c r="H23" i="1"/>
  <c r="H25" i="1"/>
  <c r="R11" i="3"/>
  <c r="X11" i="3"/>
  <c r="AD11" i="3"/>
  <c r="X12" i="3"/>
  <c r="AD12" i="3"/>
  <c r="AD14" i="3"/>
  <c r="H45" i="1"/>
  <c r="R8" i="4"/>
  <c r="X8" i="4"/>
  <c r="AD8" i="4"/>
  <c r="R9" i="4"/>
  <c r="X9" i="4"/>
  <c r="AD9" i="4"/>
  <c r="R10" i="4"/>
  <c r="X10" i="4"/>
  <c r="AD10" i="4"/>
  <c r="R11" i="4"/>
  <c r="X11" i="4"/>
  <c r="AD11" i="4"/>
  <c r="R12" i="4"/>
  <c r="X12" i="4"/>
  <c r="AD12" i="4"/>
  <c r="R13" i="4"/>
  <c r="X13" i="4"/>
  <c r="AD13" i="4"/>
  <c r="R14" i="4"/>
  <c r="X14" i="4"/>
  <c r="AD14" i="4"/>
  <c r="R15" i="4"/>
  <c r="X15" i="4"/>
  <c r="AD15" i="4"/>
  <c r="R16" i="4"/>
  <c r="X16" i="4"/>
  <c r="AD16" i="4"/>
  <c r="X14" i="3"/>
  <c r="X17" i="4"/>
  <c r="AD17" i="4"/>
  <c r="X18" i="4"/>
  <c r="AD18" i="4"/>
  <c r="X19" i="4"/>
  <c r="AD19" i="4"/>
  <c r="R20" i="4"/>
  <c r="H37" i="1"/>
  <c r="X20" i="4"/>
  <c r="AD20" i="4"/>
  <c r="R21" i="4"/>
  <c r="X21" i="4"/>
  <c r="AD21" i="4"/>
  <c r="X22" i="4"/>
  <c r="AD22" i="4"/>
  <c r="AD24" i="4"/>
  <c r="H46" i="1"/>
  <c r="H47" i="1"/>
  <c r="G43" i="1"/>
  <c r="Q8" i="2"/>
  <c r="W8" i="2"/>
  <c r="Q9" i="2"/>
  <c r="W9" i="2"/>
  <c r="Q10" i="2"/>
  <c r="W10" i="2"/>
  <c r="W12" i="2"/>
  <c r="G44" i="1"/>
  <c r="G11" i="1"/>
  <c r="Q8" i="3"/>
  <c r="W8" i="3"/>
  <c r="AC8" i="3"/>
  <c r="G16" i="1"/>
  <c r="G20" i="1"/>
  <c r="G22" i="1"/>
  <c r="Q9" i="3"/>
  <c r="W9" i="3"/>
  <c r="AC9" i="3"/>
  <c r="G24" i="1"/>
  <c r="Q10" i="3"/>
  <c r="W10" i="3"/>
  <c r="AC10" i="3"/>
  <c r="G23" i="1"/>
  <c r="G25" i="1"/>
  <c r="Q11" i="3"/>
  <c r="W11" i="3"/>
  <c r="AC11" i="3"/>
  <c r="W12" i="3"/>
  <c r="AC12" i="3"/>
  <c r="AC14" i="3"/>
  <c r="G45" i="1"/>
  <c r="Q8" i="4"/>
  <c r="W8" i="4"/>
  <c r="AC8" i="4"/>
  <c r="Q9" i="4"/>
  <c r="W9" i="4"/>
  <c r="AC9" i="4"/>
  <c r="Q10" i="4"/>
  <c r="W10" i="4"/>
  <c r="AC10" i="4"/>
  <c r="Q11" i="4"/>
  <c r="W11" i="4"/>
  <c r="AC11" i="4"/>
  <c r="Q12" i="4"/>
  <c r="W12" i="4"/>
  <c r="AC12" i="4"/>
  <c r="Q13" i="4"/>
  <c r="W13" i="4"/>
  <c r="AC13" i="4"/>
  <c r="Q14" i="4"/>
  <c r="W14" i="4"/>
  <c r="AC14" i="4"/>
  <c r="Q15" i="4"/>
  <c r="W15" i="4"/>
  <c r="AC15" i="4"/>
  <c r="Q16" i="4"/>
  <c r="W16" i="4"/>
  <c r="AC16" i="4"/>
  <c r="W14" i="3"/>
  <c r="W17" i="4"/>
  <c r="AC17" i="4"/>
  <c r="W18" i="4"/>
  <c r="AC18" i="4"/>
  <c r="W19" i="4"/>
  <c r="AC19" i="4"/>
  <c r="Q20" i="4"/>
  <c r="G37" i="1"/>
  <c r="W20" i="4"/>
  <c r="AC20" i="4"/>
  <c r="Q21" i="4"/>
  <c r="W21" i="4"/>
  <c r="AC21" i="4"/>
  <c r="W22" i="4"/>
  <c r="AC22" i="4"/>
  <c r="AC24" i="4"/>
  <c r="G46" i="1"/>
  <c r="G47" i="1"/>
  <c r="F43" i="1"/>
  <c r="P8" i="2"/>
  <c r="V8" i="2"/>
  <c r="P9" i="2"/>
  <c r="V9" i="2"/>
  <c r="P10" i="2"/>
  <c r="V10" i="2"/>
  <c r="V12" i="2"/>
  <c r="F44" i="1"/>
  <c r="F11" i="1"/>
  <c r="P8" i="3"/>
  <c r="V8" i="3"/>
  <c r="AB8" i="3"/>
  <c r="F16" i="1"/>
  <c r="F20" i="1"/>
  <c r="F22" i="1"/>
  <c r="P9" i="3"/>
  <c r="V9" i="3"/>
  <c r="AB9" i="3"/>
  <c r="F24" i="1"/>
  <c r="P10" i="3"/>
  <c r="V10" i="3"/>
  <c r="AB10" i="3"/>
  <c r="F23" i="1"/>
  <c r="F25" i="1"/>
  <c r="P11" i="3"/>
  <c r="V11" i="3"/>
  <c r="AB11" i="3"/>
  <c r="V12" i="3"/>
  <c r="AB12" i="3"/>
  <c r="AB14" i="3"/>
  <c r="F45" i="1"/>
  <c r="P8" i="4"/>
  <c r="V8" i="4"/>
  <c r="AB8" i="4"/>
  <c r="P9" i="4"/>
  <c r="V9" i="4"/>
  <c r="AB9" i="4"/>
  <c r="P10" i="4"/>
  <c r="V10" i="4"/>
  <c r="AB10" i="4"/>
  <c r="P11" i="4"/>
  <c r="V11" i="4"/>
  <c r="AB11" i="4"/>
  <c r="P12" i="4"/>
  <c r="V12" i="4"/>
  <c r="AB12" i="4"/>
  <c r="P13" i="4"/>
  <c r="V13" i="4"/>
  <c r="AB13" i="4"/>
  <c r="P14" i="4"/>
  <c r="V14" i="4"/>
  <c r="AB14" i="4"/>
  <c r="P15" i="4"/>
  <c r="V15" i="4"/>
  <c r="AB15" i="4"/>
  <c r="P16" i="4"/>
  <c r="V16" i="4"/>
  <c r="AB16" i="4"/>
  <c r="V14" i="3"/>
  <c r="V17" i="4"/>
  <c r="AB17" i="4"/>
  <c r="V18" i="4"/>
  <c r="AB18" i="4"/>
  <c r="V19" i="4"/>
  <c r="AB19" i="4"/>
  <c r="P20" i="4"/>
  <c r="F37" i="1"/>
  <c r="V20" i="4"/>
  <c r="AB20" i="4"/>
  <c r="P21" i="4"/>
  <c r="V21" i="4"/>
  <c r="AB21" i="4"/>
  <c r="V22" i="4"/>
  <c r="AB22" i="4"/>
  <c r="AB24" i="4"/>
  <c r="F46" i="1"/>
  <c r="F47" i="1"/>
  <c r="E43" i="1"/>
  <c r="O8" i="2"/>
  <c r="U8" i="2"/>
  <c r="O9" i="2"/>
  <c r="U9" i="2"/>
  <c r="O10" i="2"/>
  <c r="U10" i="2"/>
  <c r="U12" i="2"/>
  <c r="E44" i="1"/>
  <c r="E11" i="1"/>
  <c r="E23" i="1"/>
  <c r="O8" i="3"/>
  <c r="U8" i="3"/>
  <c r="AA8" i="3"/>
  <c r="E16" i="1"/>
  <c r="E20" i="1"/>
  <c r="E22" i="1"/>
  <c r="O9" i="3"/>
  <c r="U9" i="3"/>
  <c r="AA9" i="3"/>
  <c r="E24" i="1"/>
  <c r="O10" i="3"/>
  <c r="U10" i="3"/>
  <c r="AA10" i="3"/>
  <c r="E25" i="1"/>
  <c r="O11" i="3"/>
  <c r="U11" i="3"/>
  <c r="AA11" i="3"/>
  <c r="U12" i="3"/>
  <c r="AA12" i="3"/>
  <c r="AA14" i="3"/>
  <c r="E45" i="1"/>
  <c r="O8" i="4"/>
  <c r="U8" i="4"/>
  <c r="AA8" i="4"/>
  <c r="O9" i="4"/>
  <c r="U9" i="4"/>
  <c r="AA9" i="4"/>
  <c r="O10" i="4"/>
  <c r="U10" i="4"/>
  <c r="AA10" i="4"/>
  <c r="O11" i="4"/>
  <c r="U11" i="4"/>
  <c r="AA11" i="4"/>
  <c r="O12" i="4"/>
  <c r="U12" i="4"/>
  <c r="AA12" i="4"/>
  <c r="O13" i="4"/>
  <c r="U13" i="4"/>
  <c r="AA13" i="4"/>
  <c r="O14" i="4"/>
  <c r="U14" i="4"/>
  <c r="AA14" i="4"/>
  <c r="O15" i="4"/>
  <c r="U15" i="4"/>
  <c r="AA15" i="4"/>
  <c r="O16" i="4"/>
  <c r="U16" i="4"/>
  <c r="AA16" i="4"/>
  <c r="U14" i="3"/>
  <c r="U17" i="4"/>
  <c r="AA17" i="4"/>
  <c r="U18" i="4"/>
  <c r="AA18" i="4"/>
  <c r="U19" i="4"/>
  <c r="AA19" i="4"/>
  <c r="O20" i="4"/>
  <c r="E37" i="1"/>
  <c r="U20" i="4"/>
  <c r="AA20" i="4"/>
  <c r="O21" i="4"/>
  <c r="U21" i="4"/>
  <c r="AA21" i="4"/>
  <c r="U22" i="4"/>
  <c r="AA22" i="4"/>
  <c r="AA24" i="4"/>
  <c r="E46" i="1"/>
  <c r="E47" i="1"/>
  <c r="E28" i="25"/>
  <c r="F28" i="25"/>
  <c r="E29" i="25"/>
  <c r="E30" i="25"/>
  <c r="E31" i="25"/>
  <c r="E32" i="25"/>
  <c r="E33" i="25"/>
  <c r="E34" i="25"/>
  <c r="E35" i="25"/>
  <c r="H15" i="25"/>
  <c r="H16" i="25"/>
  <c r="E36" i="25"/>
  <c r="E19" i="13"/>
  <c r="J19" i="13"/>
  <c r="F29" i="25"/>
  <c r="F30" i="25"/>
  <c r="F31" i="25"/>
  <c r="F33" i="25"/>
  <c r="F34" i="25"/>
  <c r="F35" i="25"/>
  <c r="F36" i="25"/>
  <c r="F19" i="13"/>
  <c r="K19" i="13"/>
  <c r="G28" i="25"/>
  <c r="G29" i="25"/>
  <c r="G30" i="25"/>
  <c r="G31" i="25"/>
  <c r="G33" i="25"/>
  <c r="G34" i="25"/>
  <c r="G35" i="25"/>
  <c r="G36" i="25"/>
  <c r="G19" i="13"/>
  <c r="L19" i="13"/>
  <c r="H28" i="25"/>
  <c r="H29" i="25"/>
  <c r="H30" i="25"/>
  <c r="H31" i="25"/>
  <c r="H33" i="25"/>
  <c r="H34" i="25"/>
  <c r="H35" i="25"/>
  <c r="H36" i="25"/>
  <c r="H19" i="13"/>
  <c r="M19" i="13"/>
  <c r="I28" i="25"/>
  <c r="I29" i="25"/>
  <c r="I30" i="25"/>
  <c r="I31" i="25"/>
  <c r="I33" i="25"/>
  <c r="I34" i="25"/>
  <c r="I35" i="25"/>
  <c r="I36" i="25"/>
  <c r="I19" i="13"/>
  <c r="N19" i="13"/>
  <c r="I20" i="13"/>
  <c r="H20" i="13"/>
  <c r="G20" i="13"/>
  <c r="F20" i="13"/>
  <c r="E20" i="13"/>
  <c r="F8" i="10"/>
  <c r="F9" i="10"/>
  <c r="F10" i="10"/>
  <c r="F11" i="10"/>
  <c r="F12" i="10"/>
  <c r="F13" i="10"/>
  <c r="F14" i="10"/>
  <c r="F15" i="10"/>
  <c r="F17" i="10"/>
  <c r="E17" i="13"/>
  <c r="G8" i="10"/>
  <c r="G9" i="10"/>
  <c r="G10" i="10"/>
  <c r="G11" i="10"/>
  <c r="G12" i="10"/>
  <c r="G13" i="10"/>
  <c r="G14" i="10"/>
  <c r="G15" i="10"/>
  <c r="G17" i="10"/>
  <c r="F17" i="13"/>
  <c r="H8" i="10"/>
  <c r="H9" i="10"/>
  <c r="H10" i="10"/>
  <c r="H11" i="10"/>
  <c r="H12" i="10"/>
  <c r="H13" i="10"/>
  <c r="H14" i="10"/>
  <c r="H15" i="10"/>
  <c r="H17" i="10"/>
  <c r="G17" i="13"/>
  <c r="I8" i="10"/>
  <c r="I9" i="10"/>
  <c r="I10" i="10"/>
  <c r="I11" i="10"/>
  <c r="I12" i="10"/>
  <c r="I13" i="10"/>
  <c r="I14" i="10"/>
  <c r="I15" i="10"/>
  <c r="I17" i="10"/>
  <c r="H17" i="13"/>
  <c r="J8" i="10"/>
  <c r="J9" i="10"/>
  <c r="J10" i="10"/>
  <c r="J11" i="10"/>
  <c r="J12" i="10"/>
  <c r="J13" i="10"/>
  <c r="J14" i="10"/>
  <c r="J15" i="10"/>
  <c r="J17" i="10"/>
  <c r="I17" i="13"/>
  <c r="J17" i="13"/>
  <c r="K17" i="13"/>
  <c r="L17" i="13"/>
  <c r="M17" i="13"/>
  <c r="N17" i="13"/>
  <c r="V24" i="4"/>
  <c r="W24" i="4"/>
  <c r="X24" i="4"/>
  <c r="Y24" i="4"/>
  <c r="Z24" i="4"/>
  <c r="U24" i="4"/>
  <c r="P12" i="2"/>
  <c r="Q12" i="2"/>
  <c r="R12" i="2"/>
  <c r="S12" i="2"/>
  <c r="T12" i="2"/>
  <c r="O12" i="2"/>
  <c r="F12" i="1"/>
  <c r="G12" i="1"/>
  <c r="H12" i="1"/>
  <c r="I12" i="1"/>
  <c r="J12" i="1"/>
  <c r="J14" i="1"/>
  <c r="I14" i="1"/>
  <c r="H14" i="1"/>
  <c r="G14" i="1"/>
  <c r="F14" i="1"/>
  <c r="F54" i="1"/>
  <c r="G54" i="1"/>
  <c r="H16" i="1"/>
  <c r="H54" i="1"/>
  <c r="I16" i="1"/>
  <c r="I54" i="1"/>
  <c r="J16" i="1"/>
  <c r="J54" i="1"/>
  <c r="E54" i="1"/>
  <c r="I39" i="25"/>
  <c r="H39" i="25"/>
  <c r="G39" i="25"/>
  <c r="F39" i="25"/>
  <c r="E39" i="25"/>
  <c r="K8" i="10"/>
  <c r="K9" i="10"/>
  <c r="K10" i="10"/>
  <c r="K11" i="10"/>
  <c r="K12" i="10"/>
  <c r="K13" i="10"/>
  <c r="K14" i="10"/>
  <c r="K15" i="10"/>
  <c r="K17" i="10"/>
  <c r="E40" i="25"/>
  <c r="E8" i="13"/>
  <c r="J8" i="13"/>
  <c r="E9" i="13"/>
  <c r="J9" i="13"/>
  <c r="E10" i="13"/>
  <c r="J10" i="13"/>
  <c r="E11" i="13"/>
  <c r="J11" i="13"/>
  <c r="E12" i="13"/>
  <c r="J12" i="13"/>
  <c r="E13" i="13"/>
  <c r="J13" i="13"/>
  <c r="E14" i="13"/>
  <c r="J14" i="13"/>
  <c r="E15" i="13"/>
  <c r="J15" i="13"/>
  <c r="E16" i="13"/>
  <c r="J16" i="13"/>
  <c r="E18" i="13"/>
  <c r="J18" i="13"/>
  <c r="J20" i="13"/>
  <c r="E21" i="13"/>
  <c r="J21" i="13"/>
  <c r="J23" i="13"/>
  <c r="E41" i="25"/>
  <c r="E42" i="25"/>
  <c r="E44" i="25"/>
  <c r="F37" i="25"/>
  <c r="F38" i="25"/>
  <c r="L8" i="10"/>
  <c r="L9" i="10"/>
  <c r="L10" i="10"/>
  <c r="L11" i="10"/>
  <c r="L12" i="10"/>
  <c r="L13" i="10"/>
  <c r="L14" i="10"/>
  <c r="L15" i="10"/>
  <c r="L17" i="10"/>
  <c r="F40" i="25"/>
  <c r="F8" i="13"/>
  <c r="K8" i="13"/>
  <c r="F9" i="13"/>
  <c r="K9" i="13"/>
  <c r="F10" i="13"/>
  <c r="K10" i="13"/>
  <c r="F11" i="13"/>
  <c r="K11" i="13"/>
  <c r="F12" i="13"/>
  <c r="K12" i="13"/>
  <c r="F13" i="13"/>
  <c r="K13" i="13"/>
  <c r="F14" i="13"/>
  <c r="K14" i="13"/>
  <c r="F15" i="13"/>
  <c r="K15" i="13"/>
  <c r="F16" i="13"/>
  <c r="K16" i="13"/>
  <c r="F18" i="13"/>
  <c r="K18" i="13"/>
  <c r="K20" i="13"/>
  <c r="F21" i="13"/>
  <c r="K21" i="13"/>
  <c r="K23" i="13"/>
  <c r="F41" i="25"/>
  <c r="F42" i="25"/>
  <c r="F43" i="25"/>
  <c r="F46" i="25"/>
  <c r="F47" i="25"/>
  <c r="E37" i="25"/>
  <c r="E38" i="25"/>
  <c r="E43" i="25"/>
  <c r="E46" i="25"/>
  <c r="E47" i="25"/>
  <c r="G37" i="25"/>
  <c r="G38" i="25"/>
  <c r="M8" i="10"/>
  <c r="M9" i="10"/>
  <c r="M10" i="10"/>
  <c r="M11" i="10"/>
  <c r="M12" i="10"/>
  <c r="M13" i="10"/>
  <c r="M14" i="10"/>
  <c r="M15" i="10"/>
  <c r="M17" i="10"/>
  <c r="G40" i="25"/>
  <c r="G8" i="13"/>
  <c r="L8" i="13"/>
  <c r="G9" i="13"/>
  <c r="L9" i="13"/>
  <c r="G10" i="13"/>
  <c r="L10" i="13"/>
  <c r="G11" i="13"/>
  <c r="L11" i="13"/>
  <c r="G12" i="13"/>
  <c r="L12" i="13"/>
  <c r="G13" i="13"/>
  <c r="L13" i="13"/>
  <c r="G14" i="13"/>
  <c r="L14" i="13"/>
  <c r="G15" i="13"/>
  <c r="L15" i="13"/>
  <c r="G16" i="13"/>
  <c r="L16" i="13"/>
  <c r="G18" i="13"/>
  <c r="L18" i="13"/>
  <c r="L20" i="13"/>
  <c r="G21" i="13"/>
  <c r="L21" i="13"/>
  <c r="L23" i="13"/>
  <c r="G41" i="25"/>
  <c r="G42" i="25"/>
  <c r="G43" i="25"/>
  <c r="G46" i="25"/>
  <c r="G47" i="25"/>
  <c r="H37" i="25"/>
  <c r="H38" i="25"/>
  <c r="N8" i="10"/>
  <c r="N9" i="10"/>
  <c r="N10" i="10"/>
  <c r="N11" i="10"/>
  <c r="N12" i="10"/>
  <c r="N13" i="10"/>
  <c r="N14" i="10"/>
  <c r="N15" i="10"/>
  <c r="N17" i="10"/>
  <c r="H40" i="25"/>
  <c r="H8" i="13"/>
  <c r="M8" i="13"/>
  <c r="H9" i="13"/>
  <c r="M9" i="13"/>
  <c r="H10" i="13"/>
  <c r="M10" i="13"/>
  <c r="H11" i="13"/>
  <c r="M11" i="13"/>
  <c r="H12" i="13"/>
  <c r="M12" i="13"/>
  <c r="H13" i="13"/>
  <c r="M13" i="13"/>
  <c r="H14" i="13"/>
  <c r="M14" i="13"/>
  <c r="H15" i="13"/>
  <c r="M15" i="13"/>
  <c r="H16" i="13"/>
  <c r="M16" i="13"/>
  <c r="H18" i="13"/>
  <c r="M18" i="13"/>
  <c r="M20" i="13"/>
  <c r="H21" i="13"/>
  <c r="M21" i="13"/>
  <c r="M23" i="13"/>
  <c r="H41" i="25"/>
  <c r="H42" i="25"/>
  <c r="H43" i="25"/>
  <c r="H46" i="25"/>
  <c r="H47" i="25"/>
  <c r="I37" i="25"/>
  <c r="I38" i="25"/>
  <c r="O8" i="10"/>
  <c r="O9" i="10"/>
  <c r="O10" i="10"/>
  <c r="O11" i="10"/>
  <c r="O12" i="10"/>
  <c r="O13" i="10"/>
  <c r="O14" i="10"/>
  <c r="O15" i="10"/>
  <c r="O17" i="10"/>
  <c r="I40" i="25"/>
  <c r="I8" i="13"/>
  <c r="N8" i="13"/>
  <c r="I9" i="13"/>
  <c r="N9" i="13"/>
  <c r="I10" i="13"/>
  <c r="N10" i="13"/>
  <c r="I11" i="13"/>
  <c r="N11" i="13"/>
  <c r="I12" i="13"/>
  <c r="N12" i="13"/>
  <c r="I13" i="13"/>
  <c r="N13" i="13"/>
  <c r="I14" i="13"/>
  <c r="N14" i="13"/>
  <c r="I15" i="13"/>
  <c r="N15" i="13"/>
  <c r="I16" i="13"/>
  <c r="N16" i="13"/>
  <c r="I18" i="13"/>
  <c r="N18" i="13"/>
  <c r="N20" i="13"/>
  <c r="I21" i="13"/>
  <c r="N21" i="13"/>
  <c r="N23" i="13"/>
  <c r="I41" i="25"/>
  <c r="I42" i="25"/>
  <c r="I43" i="25"/>
  <c r="I46" i="25"/>
  <c r="I47" i="25"/>
  <c r="F51" i="25"/>
  <c r="G51" i="25"/>
  <c r="H51" i="25"/>
  <c r="I51" i="25"/>
  <c r="E51" i="25"/>
  <c r="F50" i="25"/>
  <c r="G50" i="25"/>
  <c r="H50" i="25"/>
  <c r="I50" i="25"/>
  <c r="E50" i="25"/>
  <c r="F39" i="1"/>
  <c r="G39" i="1"/>
  <c r="E39" i="1"/>
  <c r="F41" i="1"/>
  <c r="F42" i="1"/>
  <c r="F48" i="1"/>
  <c r="E41" i="1"/>
  <c r="E42" i="1"/>
  <c r="E48" i="1"/>
  <c r="G41" i="1"/>
  <c r="G42" i="1"/>
  <c r="G48" i="1"/>
  <c r="H41" i="1"/>
  <c r="H42" i="1"/>
  <c r="H48" i="1"/>
  <c r="I41" i="1"/>
  <c r="I42" i="1"/>
  <c r="I48" i="1"/>
  <c r="J41" i="1"/>
  <c r="J42" i="1"/>
  <c r="J48" i="1"/>
  <c r="F52" i="1"/>
  <c r="G52" i="1"/>
  <c r="H52" i="1"/>
  <c r="I52" i="1"/>
  <c r="J52" i="1"/>
  <c r="E52" i="1"/>
  <c r="F32" i="25"/>
  <c r="G32" i="25"/>
  <c r="H32" i="25"/>
  <c r="I32" i="25"/>
  <c r="F49" i="25"/>
  <c r="F44" i="25"/>
  <c r="F45" i="25"/>
  <c r="A9" i="32"/>
  <c r="B9" i="32"/>
  <c r="A10" i="32"/>
  <c r="B10" i="32"/>
  <c r="A11" i="32"/>
  <c r="B11" i="32"/>
  <c r="A12" i="32"/>
  <c r="B12" i="32"/>
  <c r="A13" i="32"/>
  <c r="B13" i="32"/>
  <c r="A14" i="32"/>
  <c r="B14" i="32"/>
  <c r="A15" i="32"/>
  <c r="B15" i="32"/>
  <c r="A16" i="32"/>
  <c r="B16" i="32"/>
  <c r="A17" i="32"/>
  <c r="B17" i="32"/>
  <c r="A18" i="32"/>
  <c r="B18" i="32"/>
  <c r="A19" i="32"/>
  <c r="B19" i="32"/>
  <c r="A20" i="32"/>
  <c r="B20" i="32"/>
  <c r="A21" i="32"/>
  <c r="B21" i="32"/>
  <c r="A22" i="32"/>
  <c r="B22" i="32"/>
  <c r="A23" i="32"/>
  <c r="B23" i="32"/>
  <c r="A24" i="32"/>
  <c r="B24" i="32"/>
  <c r="A25" i="32"/>
  <c r="B25" i="32"/>
  <c r="A26" i="32"/>
  <c r="B26" i="32"/>
  <c r="A27" i="32"/>
  <c r="B27" i="32"/>
  <c r="A28" i="32"/>
  <c r="B28" i="32"/>
  <c r="A29" i="32"/>
  <c r="B29" i="32"/>
  <c r="A30" i="32"/>
  <c r="B30" i="32"/>
  <c r="A31" i="32"/>
  <c r="B31" i="32"/>
  <c r="A32" i="32"/>
  <c r="B32" i="32"/>
  <c r="A33" i="32"/>
  <c r="B33" i="32"/>
  <c r="A34" i="32"/>
  <c r="B34" i="32"/>
  <c r="A35" i="32"/>
  <c r="B35" i="32"/>
  <c r="B8" i="32"/>
  <c r="G49" i="25"/>
  <c r="H49" i="25"/>
  <c r="I49" i="25"/>
  <c r="H44" i="25"/>
  <c r="G44" i="25"/>
  <c r="G49" i="1"/>
  <c r="G51" i="1"/>
  <c r="E49" i="1"/>
  <c r="E51" i="1"/>
  <c r="D18" i="30"/>
  <c r="E19" i="30"/>
  <c r="E20" i="30"/>
  <c r="D9" i="30"/>
  <c r="E10" i="30"/>
  <c r="E11" i="30"/>
  <c r="E21" i="25"/>
  <c r="F21" i="25"/>
  <c r="F7" i="13"/>
  <c r="K7" i="13"/>
  <c r="G21" i="25"/>
  <c r="G7" i="13"/>
  <c r="L7" i="13"/>
  <c r="H21" i="25"/>
  <c r="H7" i="13"/>
  <c r="M7" i="13"/>
  <c r="I21" i="25"/>
  <c r="I7" i="13"/>
  <c r="N7" i="13"/>
  <c r="E7" i="13"/>
  <c r="J7" i="13"/>
  <c r="J7" i="10"/>
  <c r="O7" i="10"/>
  <c r="I7" i="10"/>
  <c r="N7" i="10"/>
  <c r="F7" i="10"/>
  <c r="K7" i="10"/>
  <c r="G7" i="10"/>
  <c r="L7" i="10"/>
  <c r="H7" i="10"/>
  <c r="M7" i="10"/>
  <c r="F23" i="13"/>
  <c r="G23" i="13"/>
  <c r="H23" i="13"/>
  <c r="I23" i="13"/>
  <c r="I44" i="25"/>
  <c r="G45" i="25"/>
  <c r="H45" i="25"/>
  <c r="I45" i="25"/>
  <c r="E26" i="1"/>
  <c r="G26" i="1"/>
  <c r="E49" i="25"/>
  <c r="E23" i="13"/>
  <c r="E45" i="25"/>
  <c r="F49" i="1"/>
  <c r="F26" i="1"/>
  <c r="F51" i="1"/>
  <c r="I49" i="1"/>
  <c r="H49" i="1"/>
  <c r="J49" i="1"/>
  <c r="I53" i="1"/>
  <c r="E53" i="1"/>
  <c r="G53" i="1"/>
  <c r="H53" i="1"/>
  <c r="J53" i="1"/>
  <c r="F53" i="1"/>
  <c r="J26" i="1"/>
  <c r="I26" i="1"/>
  <c r="H26" i="1"/>
  <c r="J51" i="1"/>
  <c r="I51" i="1"/>
  <c r="H51" i="1"/>
</calcChain>
</file>

<file path=xl/sharedStrings.xml><?xml version="1.0" encoding="utf-8"?>
<sst xmlns="http://schemas.openxmlformats.org/spreadsheetml/2006/main" count="636" uniqueCount="318">
  <si>
    <t>sqm</t>
  </si>
  <si>
    <t>Units</t>
  </si>
  <si>
    <t>Type</t>
  </si>
  <si>
    <t>Physical</t>
  </si>
  <si>
    <t>months</t>
  </si>
  <si>
    <t>Time to complete</t>
  </si>
  <si>
    <t>Land per dwelling</t>
  </si>
  <si>
    <t>sqm/dwelling</t>
  </si>
  <si>
    <t>Number of levels</t>
  </si>
  <si>
    <t>per dwelling</t>
  </si>
  <si>
    <t>per site</t>
  </si>
  <si>
    <t>GST</t>
  </si>
  <si>
    <t>Corporate tax</t>
  </si>
  <si>
    <t>Item</t>
  </si>
  <si>
    <t>All costs are GST exclusive</t>
  </si>
  <si>
    <t>Unit cost</t>
  </si>
  <si>
    <t>Total</t>
  </si>
  <si>
    <t>New dwellings</t>
  </si>
  <si>
    <t>per m2</t>
  </si>
  <si>
    <t>Preparation contingency</t>
  </si>
  <si>
    <t>Water Connection</t>
  </si>
  <si>
    <t>Sewerage Connection</t>
  </si>
  <si>
    <t>Stormwater Connnection</t>
  </si>
  <si>
    <t>Electricity Connection</t>
  </si>
  <si>
    <t>Telecoms Connnection</t>
  </si>
  <si>
    <t>Gas Connection</t>
  </si>
  <si>
    <t>Council Development Contribution</t>
  </si>
  <si>
    <t>Building Consent Fees</t>
  </si>
  <si>
    <t>Resource Consent Fees</t>
  </si>
  <si>
    <t>Sales and Marketing</t>
  </si>
  <si>
    <t>Legal</t>
  </si>
  <si>
    <t>Site/Project Management</t>
  </si>
  <si>
    <t>of cons. Costs</t>
  </si>
  <si>
    <t>of sales price</t>
  </si>
  <si>
    <t>Costs</t>
  </si>
  <si>
    <t>Revenue</t>
  </si>
  <si>
    <t>Gross profit margin</t>
  </si>
  <si>
    <t>Profit</t>
  </si>
  <si>
    <t>Key inputs</t>
  </si>
  <si>
    <t>Key outputs</t>
  </si>
  <si>
    <t>Notes / Comments</t>
  </si>
  <si>
    <t>Development feasible?</t>
  </si>
  <si>
    <t>Detached</t>
  </si>
  <si>
    <t>Apartment</t>
  </si>
  <si>
    <t>%</t>
  </si>
  <si>
    <t xml:space="preserve"> 2-3 storeys</t>
  </si>
  <si>
    <t>4-7 storeys</t>
  </si>
  <si>
    <t>Ancillary costs contingency</t>
  </si>
  <si>
    <t>Duplex</t>
  </si>
  <si>
    <t>Max site coverage</t>
  </si>
  <si>
    <t>8-12 storeys</t>
  </si>
  <si>
    <t>Minimum land/dwelling</t>
  </si>
  <si>
    <t>Minimum floor space/dwelling</t>
  </si>
  <si>
    <t>Average sales price</t>
  </si>
  <si>
    <t>sqm / level</t>
  </si>
  <si>
    <t>Floor area ratio</t>
  </si>
  <si>
    <t>Height limit</t>
  </si>
  <si>
    <t>Levels</t>
  </si>
  <si>
    <t>sq / dwelling</t>
  </si>
  <si>
    <t>DC contributions factor</t>
  </si>
  <si>
    <t>Margin maximising?</t>
  </si>
  <si>
    <t>Profit maximising?</t>
  </si>
  <si>
    <t>Value</t>
  </si>
  <si>
    <t>dwellings/ha</t>
  </si>
  <si>
    <t>Density of dwellings [dwellings / ha]</t>
  </si>
  <si>
    <t>m</t>
  </si>
  <si>
    <t>c</t>
  </si>
  <si>
    <t>Section price function</t>
  </si>
  <si>
    <t>per section</t>
  </si>
  <si>
    <t>Average sales price (inc GST)</t>
  </si>
  <si>
    <t>Average sales price (ex GST)</t>
  </si>
  <si>
    <t>Total revenue</t>
  </si>
  <si>
    <t>Ancillary</t>
  </si>
  <si>
    <t>Land costs</t>
  </si>
  <si>
    <t>Time to develop</t>
  </si>
  <si>
    <t>Civil works contingency</t>
  </si>
  <si>
    <t>Gross costs</t>
  </si>
  <si>
    <t>per section (total)</t>
  </si>
  <si>
    <t>How many homes could be built?</t>
  </si>
  <si>
    <t>Model overview</t>
  </si>
  <si>
    <t>The development process</t>
  </si>
  <si>
    <t>The development process includes several stages, as shown in the following stylised diagram.</t>
  </si>
  <si>
    <t>This tool therefore includes two modules:</t>
  </si>
  <si>
    <t>The feasibility calculation</t>
  </si>
  <si>
    <t>* The price that they must pay for land - eg the price for bare land for land developers, or the price of sections for building developers.</t>
  </si>
  <si>
    <t>* Other costs associated with development, such as infrastructure charges, professional service fees, construction costs, and interest charges.</t>
  </si>
  <si>
    <t>* The minimum rate of profit that is required to compensate developers for the effort they incur in development and the risk associated with development.</t>
  </si>
  <si>
    <t>Model assumptions</t>
  </si>
  <si>
    <t>This model incorporates a number of assumptions that may have a material effect on modelled outcomes, or which may mean that real-world outcomes differ from modelled outcomes.</t>
  </si>
  <si>
    <t>Some key assumptions are as follows:</t>
  </si>
  <si>
    <t>2. Developers are assumed to be 'price-takers' - that is, they must accept market prices for land, finished dwellings, and construction inputs, rather than being able to influence these prices by exerting their market power.</t>
  </si>
  <si>
    <t>Getting started</t>
  </si>
  <si>
    <t>Each module contains the following elements:</t>
  </si>
  <si>
    <t>* A dashboard containing key model inputs and outputs, enabling users to quickly test the impact of changes to key variables such as higher or lower land costs, higher or lower sale prices for finished dwellings / sections, and longer or shorter development timeframes</t>
  </si>
  <si>
    <t>In addition, there is a sheet containing standard financial assumptions that apply to both the land development and building development models, including tax rates, interest rates for project finance, and the minimum developer profit required for a project to be considered feasible.</t>
  </si>
  <si>
    <t>Users can 'step through' the model, starting in the following locations.</t>
  </si>
  <si>
    <t>Note: This would be removed in the final version.</t>
  </si>
  <si>
    <t>Panel 1: A feasible development</t>
  </si>
  <si>
    <t>Revenues</t>
  </si>
  <si>
    <t>Residual value</t>
  </si>
  <si>
    <t>Construction costs</t>
  </si>
  <si>
    <t>Other costs (incl finance)</t>
  </si>
  <si>
    <t>Developer profit</t>
  </si>
  <si>
    <t>Panel 2: An infeasible development</t>
  </si>
  <si>
    <t>The purpose of this spreadsheet is to enable users to model the commercial feasibility of developing new residential dwellings. It seeks to imitate the feasibility calculations a typical developer might undertake when choosing whether to proceed with a development.</t>
  </si>
  <si>
    <t>While the model includes parameters for site-specific issues that may affect the cost or complexity of development, it does not provide a detailed model of the effects of planning constraints on development potential. This caveat is particularly important for redevelopment and infill in existing urban areas. Some councils have developed models of planning constraints on existing sites; the principles and calculations set out in this tool could be used to extend those models.</t>
  </si>
  <si>
    <t>Land development and building development are usually, although not always, undertaken by separate companies. Hence it is necessary to consider these as separate stages in the development process.</t>
  </si>
  <si>
    <t>* The revenues that they expect to obtain from buyers - eg the price that home-buyers are willing to pay for finished dwellings, or the price that building developers are willing to pay for residential sections (NB: Prices are determined exogenously to this model)</t>
  </si>
  <si>
    <t>The following diagrams show how the development feasibility calculation works. In Panel 1, development revenues exceed development costs, resulting in a positive 'residual value'. In Panel 2, development revenues are lower than costs, resulting in a negative 'residual value'. The development in Panel 1 would be considered feasible, as it covers costs and provides an adequate return to the developer. In contrast, the development in Panel 2 is considered infeasible and hence is unlikely to be progressed by a private-sector developer.</t>
  </si>
  <si>
    <t>Cost parameters</t>
  </si>
  <si>
    <t>Ancillary costs</t>
  </si>
  <si>
    <t>Demolition &amp; removal</t>
  </si>
  <si>
    <t>Land preparation costs</t>
  </si>
  <si>
    <t>Minimum net density</t>
  </si>
  <si>
    <t>Maximum net density</t>
  </si>
  <si>
    <t>Unit costs</t>
  </si>
  <si>
    <t>Quantity</t>
  </si>
  <si>
    <t>2-3</t>
  </si>
  <si>
    <t>4-7</t>
  </si>
  <si>
    <t>8-12</t>
  </si>
  <si>
    <t>Design/Architect/Building Plans (BC appn)</t>
  </si>
  <si>
    <t>* Multiple sheets containing inputs for development costs, such as land preparation costs, construction costs, and ancillary costs.</t>
  </si>
  <si>
    <t>1. Prices for land, sections, and finished buildings are assumed to be fixed. In the model, they do not change in response to changes in urban planning policies (i.e. rezoning land may cause its price to increase) or changes in the supply of dwellings (i.e. prices for new dwellings may fall if many are built at once).</t>
  </si>
  <si>
    <t>4. The model does not account for the take-up of feasible development, which will depend upon a variety of other factors, including the willingness of landowners to supply their land for development, future changes in costs and revenues, consenting outcomes, etc.</t>
  </si>
  <si>
    <r>
      <t xml:space="preserve">(1) </t>
    </r>
    <r>
      <rPr>
        <i/>
        <sz val="14"/>
        <color theme="1"/>
        <rFont val="Arial"/>
        <family val="2"/>
      </rPr>
      <t xml:space="preserve">A land development feasibility model </t>
    </r>
    <r>
      <rPr>
        <sz val="14"/>
        <color theme="1"/>
        <rFont val="Arial"/>
        <family val="2"/>
      </rPr>
      <t>that analyses the commercial feasibility of developing new residential sections from previously undeveloped or vacated land, which could be either in a greenfield area or a major brownfield redevelopment area.</t>
    </r>
  </si>
  <si>
    <r>
      <t xml:space="preserve">(2) </t>
    </r>
    <r>
      <rPr>
        <i/>
        <sz val="14"/>
        <color theme="1"/>
        <rFont val="Arial"/>
        <family val="2"/>
      </rPr>
      <t>A building development feasibility model</t>
    </r>
    <r>
      <rPr>
        <sz val="14"/>
        <color theme="1"/>
        <rFont val="Arial"/>
        <family val="2"/>
      </rPr>
      <t xml:space="preserve"> that analyses the commercial feasibility of developing distinct types of buildings on an existing residential section. This model could be applied to either a vacant section or a section with existing buildings or other constraints.</t>
    </r>
  </si>
  <si>
    <r>
      <t xml:space="preserve">When developing land or buildings, we assume developers consider the </t>
    </r>
    <r>
      <rPr>
        <b/>
        <sz val="14"/>
        <color theme="1"/>
        <rFont val="Arial"/>
        <family val="2"/>
      </rPr>
      <t>costs</t>
    </r>
    <r>
      <rPr>
        <sz val="14"/>
        <color theme="1"/>
        <rFont val="Arial"/>
        <family val="2"/>
      </rPr>
      <t xml:space="preserve"> and </t>
    </r>
    <r>
      <rPr>
        <b/>
        <sz val="14"/>
        <color theme="1"/>
        <rFont val="Arial"/>
        <family val="2"/>
      </rPr>
      <t>revenues</t>
    </r>
    <r>
      <rPr>
        <sz val="14"/>
        <color theme="1"/>
        <rFont val="Arial"/>
        <family val="2"/>
      </rPr>
      <t xml:space="preserve"> of different development scenarios, specifically:</t>
    </r>
  </si>
  <si>
    <t>Gross site area</t>
  </si>
  <si>
    <t>% of area</t>
  </si>
  <si>
    <t>Key</t>
  </si>
  <si>
    <t>2-3 storey apartments</t>
  </si>
  <si>
    <t>4-7 storey apartments</t>
  </si>
  <si>
    <t>8-12 storey apartments</t>
  </si>
  <si>
    <t>Land preparation cost inputs</t>
  </si>
  <si>
    <t>Construction cost inputs</t>
  </si>
  <si>
    <t>Ancillary cost inputs</t>
  </si>
  <si>
    <t>Civil works cost inputs</t>
  </si>
  <si>
    <t>Fees and charges inputs</t>
  </si>
  <si>
    <t>Modelled section price gradient</t>
  </si>
  <si>
    <t>Section area (m2)</t>
  </si>
  <si>
    <t>Estimated section price ($)</t>
  </si>
  <si>
    <t>Civil works</t>
  </si>
  <si>
    <t>Fees and charges</t>
  </si>
  <si>
    <t>These assumptions are standardised across both the land development and building development models.</t>
  </si>
  <si>
    <t>Financial and tax</t>
  </si>
  <si>
    <t>Financial and tax assumptions</t>
  </si>
  <si>
    <t>Rate</t>
  </si>
  <si>
    <t>3. Developers are assumed to require a fixed rate of gross profit for all types of development, rather than requiring higher profit in response to perceived riskiness of development, scale of development, or development timeframes. However, the timing of costs and revenues is considered explicitly in the model, which means that financing costs for development can vary.</t>
  </si>
  <si>
    <t>Timing</t>
  </si>
  <si>
    <t>Gross costs, relating to various dw/ha options</t>
  </si>
  <si>
    <t>sqm / site</t>
  </si>
  <si>
    <t>Wastewater/stormwater Reserve</t>
  </si>
  <si>
    <t>Timing*</t>
  </si>
  <si>
    <t>per lin m of pipe</t>
  </si>
  <si>
    <t>Rates / ha</t>
  </si>
  <si>
    <t>Road Reserve area for 15 dw/ha</t>
  </si>
  <si>
    <t>Net Developable land Area</t>
  </si>
  <si>
    <t>ha of land</t>
  </si>
  <si>
    <t>per m2 road res</t>
  </si>
  <si>
    <t>Road Reserve Area</t>
  </si>
  <si>
    <t>Landscape Reserve Area</t>
  </si>
  <si>
    <t>Landscape Reserve for 15 dw/ha</t>
  </si>
  <si>
    <t>Stormwater Reserve Area</t>
  </si>
  <si>
    <t>Net Land Area Calcs</t>
  </si>
  <si>
    <t>per m2 reserve</t>
  </si>
  <si>
    <t>Water supply**</t>
  </si>
  <si>
    <t>Wastewater**</t>
  </si>
  <si>
    <t>Roading</t>
  </si>
  <si>
    <t>Notes</t>
  </si>
  <si>
    <t>Average section size</t>
  </si>
  <si>
    <t>per ha raw land</t>
  </si>
  <si>
    <t>Calculated output cells</t>
  </si>
  <si>
    <t>Project contingency</t>
  </si>
  <si>
    <t>Comment</t>
  </si>
  <si>
    <t>Terrace Home</t>
  </si>
  <si>
    <t>Total floor space on site</t>
  </si>
  <si>
    <t>Pre tax margin %</t>
  </si>
  <si>
    <t>Net Developable Site Area</t>
  </si>
  <si>
    <t>Det</t>
  </si>
  <si>
    <t>Dup</t>
  </si>
  <si>
    <t>Terr</t>
  </si>
  <si>
    <t>All costs ex GST, unless stated</t>
  </si>
  <si>
    <t>Pre tax profit $</t>
  </si>
  <si>
    <t>per section costs (excl raw land)</t>
  </si>
  <si>
    <t>Subdivision Lots created</t>
  </si>
  <si>
    <t>% per dw/ha</t>
  </si>
  <si>
    <t>Average dwelling sales price</t>
  </si>
  <si>
    <t>Actual site purchase costs</t>
  </si>
  <si>
    <t>Gross Project Sales Income (incl GST)</t>
  </si>
  <si>
    <t>Gross Project Sales Income (excl GST)</t>
  </si>
  <si>
    <t>/ site m2</t>
  </si>
  <si>
    <t>Site Hoardings / Fencing etc</t>
  </si>
  <si>
    <t>Unit costs (per site m2)</t>
  </si>
  <si>
    <t>$/m2</t>
  </si>
  <si>
    <t>Build Cost Contingency</t>
  </si>
  <si>
    <t>Total Build Costs</t>
  </si>
  <si>
    <t>Technical (RC Application etc)</t>
  </si>
  <si>
    <t>Legal, Accounting, Surveying</t>
  </si>
  <si>
    <t>Total Ancilliary Costs</t>
  </si>
  <si>
    <t>Total Site Preparation Costs</t>
  </si>
  <si>
    <t>$</t>
  </si>
  <si>
    <t>Land capital value (CV)</t>
  </si>
  <si>
    <t>Land sale price relative to CV, ex GST</t>
  </si>
  <si>
    <t>2 Civil works, incl holding costs</t>
  </si>
  <si>
    <t>3 Fees and charges, incl holding costs</t>
  </si>
  <si>
    <t>4 Project contingency</t>
  </si>
  <si>
    <t>Other constraints that reduce net site area</t>
  </si>
  <si>
    <t>Extra roading for increased dw/ha</t>
  </si>
  <si>
    <t>Extra landscape reserve for dw/ha</t>
  </si>
  <si>
    <t>% of land area</t>
  </si>
  <si>
    <t>* Weighted average cost of capital (WACC) is the equity and finance costs for the developer, on an annual basis</t>
  </si>
  <si>
    <t>Weighted average cost of capital*</t>
  </si>
  <si>
    <t>Section price gradient</t>
  </si>
  <si>
    <t>Section price intercept</t>
  </si>
  <si>
    <t>total lots</t>
  </si>
  <si>
    <t>ha</t>
  </si>
  <si>
    <t>** Water and Wastewater Rate / ha: this is calculated based on the lineal m required per ha land developed</t>
  </si>
  <si>
    <t>All costs ex GST, unless otherwise stated</t>
  </si>
  <si>
    <t>Add cost of capital to various dw/ha options</t>
  </si>
  <si>
    <t>Existing land clearance</t>
  </si>
  <si>
    <t>% of civil costs</t>
  </si>
  <si>
    <t>Landscape &amp; stormwater reserves</t>
  </si>
  <si>
    <t>Subdivision costs</t>
  </si>
  <si>
    <t>* This is the timing in a civil works project when this unit cost is most likely expected. For instance, a cost</t>
  </si>
  <si>
    <t>that was incurred 25% of the way through a 24-month development process would occur in month 6.</t>
  </si>
  <si>
    <t>Gross area of site</t>
  </si>
  <si>
    <t>Site constraints that reduce dev potential</t>
  </si>
  <si>
    <t>New Lot Area 1</t>
  </si>
  <si>
    <t>New Lot Price 1</t>
  </si>
  <si>
    <t>New Lot Area 2</t>
  </si>
  <si>
    <t>New Lot Price 2</t>
  </si>
  <si>
    <t>Note: This requires users to enter local prices for two lots of varying size, eg a price for a 400m2 and a 800m2 lot. This allows prices for sections of varying sizes to be estimated below.</t>
  </si>
  <si>
    <t>Section price $</t>
  </si>
  <si>
    <t>m2</t>
  </si>
  <si>
    <t>Site zoning</t>
  </si>
  <si>
    <t>Mixed Housing Suburban</t>
  </si>
  <si>
    <t>Note: Council can identify zoning from GIS and enter appropriate zoning variables</t>
  </si>
  <si>
    <t>This is a sample from the Auckland Unitary Plan</t>
  </si>
  <si>
    <t>Gross floor area per dwelling</t>
  </si>
  <si>
    <t>Plan-enabled?</t>
  </si>
  <si>
    <t>Note: This checks whether typologies are plan-enabled</t>
  </si>
  <si>
    <t>Gross site purchase costs (CV)</t>
  </si>
  <si>
    <t>Site sale price relative to CV</t>
  </si>
  <si>
    <t>Note: Gross site purchase costs include the value of any existing buildings on site</t>
  </si>
  <si>
    <t>$/site</t>
  </si>
  <si>
    <t>Sensitivity testing</t>
  </si>
  <si>
    <t>In principle, this model can be used to sensitivity test key assumptions on the cost and revenue side. Specific functionality for sensitivity testing has not been built in to this version. However, users are encouraged to test the impact of varying the values in key input cells on development feasibility.</t>
  </si>
  <si>
    <t>Some key parameters that users may seek to sensitivity test are:</t>
  </si>
  <si>
    <t>* Development sale price assumptions</t>
  </si>
  <si>
    <t>* Land cost assumptions</t>
  </si>
  <si>
    <t>* Construction cost assumptions (for building development)</t>
  </si>
  <si>
    <t>* Land development cost assumptions</t>
  </si>
  <si>
    <t>* Development timeframes, ie the number of months required to complete a development</t>
  </si>
  <si>
    <t>* Minimum gross profit required in order for a development to be considered feasible</t>
  </si>
  <si>
    <t>Driveway and parking site coverage</t>
  </si>
  <si>
    <t>Total paved area</t>
  </si>
  <si>
    <t>Site prep costs - below slab, piling etc</t>
  </si>
  <si>
    <t>Driveway and parking area costs</t>
  </si>
  <si>
    <t>Timing (to calculate holding costs)*</t>
  </si>
  <si>
    <t>* This is the timing in a project when this unit cost is most likely expected. For instance, a cost</t>
  </si>
  <si>
    <t>Add cost of capital</t>
  </si>
  <si>
    <t>Construction costs, ground floor and up**</t>
  </si>
  <si>
    <t>** This is a blended cost rate that includes the overall building area, including common areas</t>
  </si>
  <si>
    <t>and parking garages</t>
  </si>
  <si>
    <t>Total landscaped area</t>
  </si>
  <si>
    <t>Site area and price</t>
  </si>
  <si>
    <t>Planning check</t>
  </si>
  <si>
    <t>Development outcome</t>
  </si>
  <si>
    <t>Building site coverage</t>
  </si>
  <si>
    <t>Note: Includes common areas</t>
  </si>
  <si>
    <t>Site variables</t>
  </si>
  <si>
    <t>Total building footprint</t>
  </si>
  <si>
    <t>Landscaping costs</t>
  </si>
  <si>
    <t>1 Raw land purchase and holding cost</t>
  </si>
  <si>
    <t>2 Site preparation costs, incl holding costs</t>
  </si>
  <si>
    <t>4 Ancillary costs, incl holding costs</t>
  </si>
  <si>
    <t>3 Construction costs, incl holding costs</t>
  </si>
  <si>
    <t>Earthworks and site preparation</t>
  </si>
  <si>
    <t>per m3 raw land moved</t>
  </si>
  <si>
    <t>Fees and charges costs contingency</t>
  </si>
  <si>
    <t>Total costs</t>
  </si>
  <si>
    <t>% of sales price</t>
  </si>
  <si>
    <t>Consultant fees (RC application, engineering, geotech, etc)</t>
  </si>
  <si>
    <t>per new lot</t>
  </si>
  <si>
    <t>Revenue assumptions</t>
  </si>
  <si>
    <t>The NPS-UDC defines "feasible" as follows:</t>
  </si>
  <si>
    <t xml:space="preserve">Estimating feasibility will help local authorities to be realistic about how much and where development capacity needs to be provided in plans, in order to meet demand. </t>
  </si>
  <si>
    <t xml:space="preserve">Modelling approaches to assess feasibility </t>
  </si>
  <si>
    <t xml:space="preserve">Feasible means that development is commercially viable, taking into account the current likely costs, revenue and yield of developing; and feasibility has a corresponding meaning </t>
  </si>
  <si>
    <t xml:space="preserve">* Development that actually occurs is likely to be less than what is assessed to be commercially feasible (i.e., take-up of feasible development capacity is expected to be less than 100%). This is despite the possibility that some actual development may fall outside areas enabled by the District Plan (i.e., resulting from a private plan change or non-complying or discretionary consent). </t>
  </si>
  <si>
    <t>While these two models are not integrated, they could be combined to model the feasibility of an integrated development undertaken by a single company. This could be done by using the outputs from the land development model (i.e. section costs) as inputs to the building development model, taking care to avoid double-counting costs for development and infrastructure contributions.</t>
  </si>
  <si>
    <t xml:space="preserve">The relationship between plan-enabled capacity, infrastructure, commercial feasibility and take-up is shown below: </t>
  </si>
  <si>
    <t>A development feasibility tool for the National Policy Statement on Urban Development Capacity</t>
  </si>
  <si>
    <t>NPS-UDC requirement to assess and provide feasible development capacity for housing</t>
  </si>
  <si>
    <t>* “Plan-enabled development capacity” is development that Resource Management plans enable, including that which may not yet be serviced by infrastructure. In order for this to be considered “development capacity”, as defined by the NPS-UDC, funding for infrastructure to support it should be identified in a council’s long-term plan, or it should be included in the council's infrastructure strategy.</t>
  </si>
  <si>
    <t>* In some parts of an urban area infrastructure may have spare capacity that could support more development than the plan allows (i.e., greater densities).</t>
  </si>
  <si>
    <t>* It is unlikely that all plan-enabled development capacity would be assessed as feasible to a developer, for example, some capacity might be in locations where prices do not support re-development to the extent allowed. Thus the “commercially feasible” circle is a subset of, and is smaller than, the “plan-enabled” one.</t>
  </si>
  <si>
    <t>The intent of this definition is that local authorities asses whether development capacity is feasible to a developer. The definition refers to the costs and revenue that would be faced by a developer to develop capacity that is enabled by a plan and supported by public infrastructure. These costs may include physical feasibility, where the cost to the developer of  overcoming physical constraints on a site can be identified.  They can also include the costs of making development contributions to infrastructure funding.</t>
  </si>
  <si>
    <t>However “feasible” does not include the cost to the local authority of providing infrastructure. Local authorities will need to separately assess this to inform their long term plans.</t>
  </si>
  <si>
    <t xml:space="preserve">Development feasibility models can be categorised into several different types depending on: </t>
  </si>
  <si>
    <r>
      <t xml:space="preserve">a) The extent to which they are based on </t>
    </r>
    <r>
      <rPr>
        <b/>
        <sz val="14"/>
        <color theme="1"/>
        <rFont val="Arial"/>
        <family val="2"/>
      </rPr>
      <t>representative sites</t>
    </r>
    <r>
      <rPr>
        <sz val="14"/>
        <color theme="1"/>
        <rFont val="Arial"/>
        <family val="2"/>
      </rPr>
      <t xml:space="preserve"> versus </t>
    </r>
    <r>
      <rPr>
        <b/>
        <sz val="14"/>
        <color theme="1"/>
        <rFont val="Arial"/>
        <family val="2"/>
      </rPr>
      <t>every individual parcel</t>
    </r>
    <r>
      <rPr>
        <sz val="14"/>
        <color theme="1"/>
        <rFont val="Arial"/>
        <family val="2"/>
      </rPr>
      <t xml:space="preserve">. The representative sites approach undertakes analysis for a single site (or several different sites) that can represent other sites. It  is often used for greenfield areas (where there is little variation in site characteristics and no existing built environment). The other approach models every individual parcel in an area.  It is often used for existing urban areas (where there are large variations in site characteristics and development typologies and an existing built environment to work with – i.e., brownfields). </t>
    </r>
  </si>
  <si>
    <r>
      <t xml:space="preserve">b) The extent to which the model is </t>
    </r>
    <r>
      <rPr>
        <b/>
        <sz val="14"/>
        <color theme="1"/>
        <rFont val="Arial"/>
        <family val="2"/>
      </rPr>
      <t>integrated</t>
    </r>
    <r>
      <rPr>
        <sz val="14"/>
        <color theme="1"/>
        <rFont val="Arial"/>
        <family val="2"/>
      </rPr>
      <t xml:space="preserve"> with other assessment methods (such as a GIS model that examines plan-enabled capacity), versus a </t>
    </r>
    <r>
      <rPr>
        <b/>
        <sz val="14"/>
        <color theme="1"/>
        <rFont val="Arial"/>
        <family val="2"/>
      </rPr>
      <t>stand-alone</t>
    </r>
    <r>
      <rPr>
        <sz val="14"/>
        <color theme="1"/>
        <rFont val="Arial"/>
        <family val="2"/>
      </rPr>
      <t xml:space="preserve"> model that only assesses feasibility and sits alongside other assessments which provide information on the site capacity. </t>
    </r>
  </si>
  <si>
    <t>It can be used to model either greenfield and/brownfield areas. The user is assumed to have some prior knowledge of prevailing planning controls and market conditions.</t>
  </si>
  <si>
    <t>Council input cells using GIS</t>
  </si>
  <si>
    <t>Council input cells with review from property development experts</t>
  </si>
  <si>
    <t>Input based on new sales price data with property development expert review</t>
  </si>
  <si>
    <t>Input based on quantity surveyor data with property development expert review</t>
  </si>
  <si>
    <t>An important note when using this model is that development revenues and development costs vary between different locations in cities and between different types of dwellings. Users must take care to select credible inputs that are relevant to the location that they are modelling.</t>
  </si>
  <si>
    <t>It is therefore essential to draw upon property developent expertise and knowledge of the local market.</t>
  </si>
  <si>
    <t>The model indicates where expert assistance may be needed using by colour-coding the input and output cells as follows:</t>
  </si>
  <si>
    <t xml:space="preserve">This sheet explains how to use the development feasibility tool. It outlines key user-selected inputs, which are key, and model outputs. </t>
  </si>
  <si>
    <t>Dimensions of development capacity</t>
  </si>
  <si>
    <t>This open source spreadsheet model can be used to estimate the feasibility of land or building development in local areas. It can help local authorities to give effect to the national policy statement on urban development capacity (NPS-UDC). Users can adjust the inputs and add or delete columns or rows to meet their needs.</t>
  </si>
  <si>
    <t>The model uses, as a starting point, "dummy" price data supplied by a real estate firm and cost data from a quantity surveyor. Local authorities should work with property experts to adjust inputs and assumptions.  The New Zealand Property Council can assist with this.</t>
  </si>
  <si>
    <r>
      <t xml:space="preserve">Policy PA1 of the NPS-UDC directs local authorities to provide sufficient </t>
    </r>
    <r>
      <rPr>
        <u/>
        <sz val="14"/>
        <color theme="1"/>
        <rFont val="Arial"/>
      </rPr>
      <t>feasible</t>
    </r>
    <r>
      <rPr>
        <sz val="14"/>
        <color theme="1"/>
        <rFont val="Arial"/>
        <family val="2"/>
      </rPr>
      <t xml:space="preserve"> development capacity in Resource Management plans and support this with infrastructure. To inform this, Policy PB3 requires high growth and medium growth local authorities to produce housing and business development capacity assessments that estimate how much of the development capacity enabled by their plans would be feasible to develop in the current market.</t>
    </r>
  </si>
  <si>
    <t xml:space="preserve">The table below illustrates these different modelling approaches and provides some examples of existing local authority models. This model is a stand-alone model focused on representative sites that can be used to estimate the feasibility of plan-enabled development capacity. </t>
  </si>
  <si>
    <t>Council Development and Financial Contributions</t>
  </si>
  <si>
    <t>Note: Floor area/dwelling includes common areas and hence it may be necessary to include a share of common areas in sales prices</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</si>
</sst>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44" formatCode="_-&quot;$&quot;* #,##0.00_-;\-&quot;$&quot;* #,##0.00_-;_-&quot;$&quot;* &quot;-&quot;??_-;_-@_-"/>
    <numFmt numFmtId="43" formatCode="_-* #,##0.00_-;\-* #,##0.00_-;_-* &quot;-&quot;??_-;_-@_-"/>
    <numFmt numFmtId="164" formatCode="&quot;$&quot;#,##0_);[Red]\(&quot;$&quot;#,##0\)"/>
    <numFmt numFmtId="165" formatCode="&quot;$&quot;#,##0"/>
    <numFmt numFmtId="166" formatCode="_-* #,##0_-;\-* #,##0_-;_-* &quot;-&quot;??_-;_-@_-"/>
    <numFmt numFmtId="167" formatCode="_-&quot;$&quot;* #,##0_-;\-&quot;$&quot;* #,##0_-;_-&quot;$&quot;* &quot;-&quot;??_-;_-@_-"/>
    <numFmt numFmtId="168" formatCode="&quot;$&quot;#,##0.00"/>
    <numFmt numFmtId="169" formatCode="0.0%"/>
    <numFmt numFmtId="170" formatCode="_-* #,##0.000_-;\-* #,##0.000_-;_-* &quot;-&quot;??_-;_-@_-"/>
    <numFmt numFmtId="171" formatCode="0.0"/>
  </numFmts>
  <fonts count="21" x14ac:knownFonts="1">
    <font>
      <sz val="11"/>
      <color theme="1"/>
      <name val="Calibri"/>
      <family val="2"/>
      <scheme val="minor"/>
    </font>
    <font>
      <sz val="11"/>
      <color theme="1"/>
      <name val="Calibri"/>
      <family val="2"/>
      <scheme val="minor"/>
    </font>
    <font>
      <sz val="12"/>
      <color theme="1"/>
      <name val="Calibri"/>
      <family val="2"/>
      <scheme val="minor"/>
    </font>
    <font>
      <b/>
      <sz val="14"/>
      <color rgb="FFFF0000"/>
      <name val="Calibri"/>
      <family val="2"/>
      <scheme val="minor"/>
    </font>
    <font>
      <sz val="14"/>
      <color theme="1"/>
      <name val="Arial"/>
      <family val="2"/>
    </font>
    <font>
      <b/>
      <sz val="14"/>
      <color rgb="FFFF0000"/>
      <name val="Arial"/>
      <family val="2"/>
    </font>
    <font>
      <b/>
      <sz val="14"/>
      <color theme="1"/>
      <name val="Arial"/>
      <family val="2"/>
    </font>
    <font>
      <b/>
      <sz val="16"/>
      <color theme="1"/>
      <name val="Arial"/>
      <family val="2"/>
    </font>
    <font>
      <i/>
      <sz val="14"/>
      <color theme="1"/>
      <name val="Arial"/>
      <family val="2"/>
    </font>
    <font>
      <sz val="11"/>
      <color theme="1"/>
      <name val="Arial"/>
      <family val="2"/>
    </font>
    <font>
      <b/>
      <sz val="12"/>
      <color theme="1"/>
      <name val="Arial"/>
      <family val="2"/>
    </font>
    <font>
      <sz val="12"/>
      <color theme="1"/>
      <name val="Arial"/>
      <family val="2"/>
    </font>
    <font>
      <b/>
      <sz val="14"/>
      <color theme="0"/>
      <name val="Arial"/>
      <family val="2"/>
    </font>
    <font>
      <b/>
      <sz val="12"/>
      <color theme="0"/>
      <name val="Arial"/>
      <family val="2"/>
    </font>
    <font>
      <i/>
      <sz val="12"/>
      <color theme="1"/>
      <name val="Arial"/>
      <family val="2"/>
    </font>
    <font>
      <i/>
      <sz val="12"/>
      <name val="Arial"/>
      <family val="2"/>
    </font>
    <font>
      <sz val="12"/>
      <name val="Arial"/>
      <family val="2"/>
    </font>
    <font>
      <sz val="8"/>
      <name val="Calibri"/>
      <family val="2"/>
      <scheme val="minor"/>
    </font>
    <font>
      <sz val="11"/>
      <color theme="0"/>
      <name val="Arial"/>
      <family val="2"/>
    </font>
    <font>
      <sz val="12"/>
      <color rgb="FFFF0000"/>
      <name val="Arial"/>
      <family val="2"/>
    </font>
    <font>
      <u/>
      <sz val="14"/>
      <color theme="1"/>
      <name val="Arial"/>
    </font>
  </fonts>
  <fills count="11">
    <fill>
      <patternFill patternType="none"/>
    </fill>
    <fill>
      <patternFill patternType="gray125"/>
    </fill>
    <fill>
      <patternFill patternType="solid">
        <fgColor theme="1" tint="0.249977111117893"/>
        <bgColor indexed="64"/>
      </patternFill>
    </fill>
    <fill>
      <patternFill patternType="solid">
        <fgColor theme="3" tint="0.39997558519241921"/>
        <bgColor indexed="64"/>
      </patternFill>
    </fill>
    <fill>
      <patternFill patternType="solid">
        <fgColor rgb="FFFF0000"/>
        <bgColor indexed="64"/>
      </patternFill>
    </fill>
    <fill>
      <patternFill patternType="solid">
        <fgColor theme="7" tint="0.59999389629810485"/>
        <bgColor indexed="64"/>
      </patternFill>
    </fill>
    <fill>
      <patternFill patternType="solid">
        <fgColor theme="6" tint="0.39997558519241921"/>
        <bgColor indexed="64"/>
      </patternFill>
    </fill>
    <fill>
      <patternFill patternType="solid">
        <fgColor theme="0"/>
        <bgColor indexed="64"/>
      </patternFill>
    </fill>
    <fill>
      <patternFill patternType="solid">
        <fgColor theme="5" tint="0.39997558519241921"/>
        <bgColor indexed="64"/>
      </patternFill>
    </fill>
    <fill>
      <patternFill patternType="solid">
        <fgColor theme="8" tint="0.39997558519241921"/>
        <bgColor indexed="64"/>
      </patternFill>
    </fill>
    <fill>
      <patternFill patternType="solid">
        <fgColor theme="5" tint="0.59999389629810485"/>
        <bgColor indexed="64"/>
      </patternFill>
    </fill>
  </fills>
  <borders count="61">
    <border>
      <left/>
      <right/>
      <top/>
      <bottom/>
      <diagonal/>
    </border>
    <border>
      <left/>
      <right/>
      <top style="thin">
        <color auto="1"/>
      </top>
      <bottom style="double">
        <color auto="1"/>
      </bottom>
      <diagonal/>
    </border>
    <border>
      <left/>
      <right/>
      <top style="thin">
        <color auto="1"/>
      </top>
      <bottom style="thin">
        <color auto="1"/>
      </bottom>
      <diagonal/>
    </border>
    <border>
      <left/>
      <right/>
      <top style="thin">
        <color auto="1"/>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right style="thin">
        <color auto="1"/>
      </right>
      <top style="medium">
        <color auto="1"/>
      </top>
      <bottom style="thin">
        <color auto="1"/>
      </bottom>
      <diagonal/>
    </border>
    <border>
      <left/>
      <right style="thin">
        <color auto="1"/>
      </right>
      <top style="thin">
        <color auto="1"/>
      </top>
      <bottom style="medium">
        <color auto="1"/>
      </bottom>
      <diagonal/>
    </border>
    <border>
      <left/>
      <right style="thin">
        <color auto="1"/>
      </right>
      <top style="thin">
        <color auto="1"/>
      </top>
      <bottom style="thin">
        <color auto="1"/>
      </bottom>
      <diagonal/>
    </border>
    <border>
      <left style="medium">
        <color auto="1"/>
      </left>
      <right/>
      <top style="medium">
        <color auto="1"/>
      </top>
      <bottom style="thin">
        <color auto="1"/>
      </bottom>
      <diagonal/>
    </border>
    <border>
      <left style="medium">
        <color auto="1"/>
      </left>
      <right/>
      <top style="thin">
        <color auto="1"/>
      </top>
      <bottom style="thin">
        <color auto="1"/>
      </bottom>
      <diagonal/>
    </border>
    <border>
      <left style="medium">
        <color auto="1"/>
      </left>
      <right/>
      <top style="thin">
        <color auto="1"/>
      </top>
      <bottom style="medium">
        <color auto="1"/>
      </bottom>
      <diagonal/>
    </border>
    <border>
      <left style="thin">
        <color auto="1"/>
      </left>
      <right/>
      <top style="medium">
        <color auto="1"/>
      </top>
      <bottom style="thin">
        <color auto="1"/>
      </bottom>
      <diagonal/>
    </border>
    <border>
      <left style="thin">
        <color auto="1"/>
      </left>
      <right/>
      <top style="thin">
        <color auto="1"/>
      </top>
      <bottom style="thin">
        <color auto="1"/>
      </bottom>
      <diagonal/>
    </border>
    <border>
      <left style="thin">
        <color auto="1"/>
      </left>
      <right/>
      <top style="thin">
        <color auto="1"/>
      </top>
      <bottom style="medium">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right style="medium">
        <color auto="1"/>
      </right>
      <top style="thin">
        <color auto="1"/>
      </top>
      <bottom style="thin">
        <color auto="1"/>
      </bottom>
      <diagonal/>
    </border>
    <border>
      <left/>
      <right/>
      <top style="medium">
        <color auto="1"/>
      </top>
      <bottom style="thin">
        <color auto="1"/>
      </bottom>
      <diagonal/>
    </border>
    <border>
      <left/>
      <right/>
      <top style="thin">
        <color auto="1"/>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right style="medium">
        <color auto="1"/>
      </right>
      <top style="thin">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right style="thin">
        <color auto="1"/>
      </right>
      <top style="medium">
        <color auto="1"/>
      </top>
      <bottom/>
      <diagonal/>
    </border>
    <border>
      <left style="thin">
        <color auto="1"/>
      </left>
      <right/>
      <top style="medium">
        <color auto="1"/>
      </top>
      <bottom/>
      <diagonal/>
    </border>
    <border>
      <left style="thin">
        <color auto="1"/>
      </left>
      <right style="thin">
        <color auto="1"/>
      </right>
      <top/>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auto="1"/>
      </left>
      <right style="thin">
        <color auto="1"/>
      </right>
      <top/>
      <bottom/>
      <diagonal/>
    </border>
    <border>
      <left style="medium">
        <color auto="1"/>
      </left>
      <right style="thin">
        <color auto="1"/>
      </right>
      <top style="medium">
        <color auto="1"/>
      </top>
      <bottom/>
      <diagonal/>
    </border>
    <border>
      <left style="medium">
        <color auto="1"/>
      </left>
      <right style="thin">
        <color auto="1"/>
      </right>
      <top/>
      <bottom style="medium">
        <color auto="1"/>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2" fillId="0" borderId="0"/>
  </cellStyleXfs>
  <cellXfs count="487">
    <xf numFmtId="0" fontId="0" fillId="0" borderId="0" xfId="0"/>
    <xf numFmtId="0" fontId="3" fillId="0" borderId="0" xfId="0" applyFont="1"/>
    <xf numFmtId="0" fontId="4" fillId="7" borderId="0" xfId="4" applyFont="1" applyFill="1"/>
    <xf numFmtId="0" fontId="4" fillId="0" borderId="0" xfId="4" applyFont="1"/>
    <xf numFmtId="0" fontId="5" fillId="7" borderId="0" xfId="4" applyFont="1" applyFill="1"/>
    <xf numFmtId="0" fontId="6" fillId="7" borderId="0" xfId="4" applyFont="1" applyFill="1"/>
    <xf numFmtId="0" fontId="7" fillId="7" borderId="0" xfId="4" applyFont="1" applyFill="1"/>
    <xf numFmtId="0" fontId="4" fillId="0" borderId="0" xfId="0" applyFont="1"/>
    <xf numFmtId="0" fontId="4" fillId="7" borderId="0" xfId="4" applyFont="1" applyFill="1" applyAlignment="1">
      <alignment horizontal="left" vertical="top" wrapText="1"/>
    </xf>
    <xf numFmtId="0" fontId="6" fillId="7" borderId="0" xfId="4" applyFont="1" applyFill="1" applyAlignment="1">
      <alignment horizontal="left" vertical="top"/>
    </xf>
    <xf numFmtId="0" fontId="9" fillId="0" borderId="0" xfId="0" applyFont="1"/>
    <xf numFmtId="0" fontId="4" fillId="7" borderId="0" xfId="4" applyFont="1" applyFill="1" applyAlignment="1">
      <alignment horizontal="left"/>
    </xf>
    <xf numFmtId="0" fontId="6" fillId="7" borderId="0" xfId="4" applyFont="1" applyFill="1" applyAlignment="1">
      <alignment horizontal="left"/>
    </xf>
    <xf numFmtId="0" fontId="10" fillId="0" borderId="0" xfId="0" applyFont="1"/>
    <xf numFmtId="0" fontId="6" fillId="0" borderId="0" xfId="0" applyFont="1"/>
    <xf numFmtId="0" fontId="11" fillId="0" borderId="0" xfId="0" applyFont="1"/>
    <xf numFmtId="0" fontId="9" fillId="0" borderId="0" xfId="0" applyFont="1" applyAlignment="1">
      <alignment horizontal="center"/>
    </xf>
    <xf numFmtId="0" fontId="10" fillId="7" borderId="0" xfId="4" applyFont="1" applyFill="1"/>
    <xf numFmtId="0" fontId="11" fillId="7" borderId="0" xfId="4" applyFont="1" applyFill="1"/>
    <xf numFmtId="0" fontId="13" fillId="2" borderId="0" xfId="0" applyFont="1" applyFill="1"/>
    <xf numFmtId="0" fontId="11" fillId="0" borderId="0" xfId="0" applyFont="1" applyAlignment="1">
      <alignment horizontal="center"/>
    </xf>
    <xf numFmtId="0" fontId="10" fillId="0" borderId="0" xfId="0" applyFont="1" applyAlignment="1">
      <alignment vertical="center"/>
    </xf>
    <xf numFmtId="0" fontId="13" fillId="2" borderId="0" xfId="0" applyFont="1" applyFill="1" applyAlignment="1">
      <alignment horizontal="center"/>
    </xf>
    <xf numFmtId="0" fontId="11" fillId="0" borderId="0" xfId="0" applyFont="1" applyAlignment="1">
      <alignment vertical="center"/>
    </xf>
    <xf numFmtId="0" fontId="11" fillId="0" borderId="0" xfId="0" applyFont="1" applyFill="1"/>
    <xf numFmtId="168" fontId="11" fillId="0" borderId="0" xfId="0" applyNumberFormat="1" applyFont="1"/>
    <xf numFmtId="168" fontId="11" fillId="0" borderId="0" xfId="0" applyNumberFormat="1" applyFont="1" applyFill="1" applyBorder="1"/>
    <xf numFmtId="0" fontId="11" fillId="0" borderId="0" xfId="0" applyFont="1" applyAlignment="1">
      <alignment horizontal="right"/>
    </xf>
    <xf numFmtId="165" fontId="11" fillId="0" borderId="0" xfId="0" applyNumberFormat="1" applyFont="1"/>
    <xf numFmtId="0" fontId="13" fillId="3" borderId="1" xfId="0" applyFont="1" applyFill="1" applyBorder="1" applyAlignment="1">
      <alignment horizontal="left" vertical="center"/>
    </xf>
    <xf numFmtId="167" fontId="13" fillId="3" borderId="1" xfId="0" applyNumberFormat="1" applyFont="1" applyFill="1" applyBorder="1" applyAlignment="1">
      <alignment horizontal="left" vertical="center"/>
    </xf>
    <xf numFmtId="167" fontId="11" fillId="0" borderId="0" xfId="0" applyNumberFormat="1" applyFont="1" applyAlignment="1">
      <alignment horizontal="center"/>
    </xf>
    <xf numFmtId="0" fontId="13" fillId="2" borderId="8" xfId="0" applyFont="1" applyFill="1" applyBorder="1" applyAlignment="1">
      <alignment horizontal="center"/>
    </xf>
    <xf numFmtId="0" fontId="13" fillId="2" borderId="0" xfId="0" applyFont="1" applyFill="1" applyBorder="1" applyAlignment="1">
      <alignment horizontal="center"/>
    </xf>
    <xf numFmtId="49" fontId="13" fillId="2" borderId="0" xfId="0" applyNumberFormat="1" applyFont="1" applyFill="1" applyBorder="1" applyAlignment="1">
      <alignment horizontal="center"/>
    </xf>
    <xf numFmtId="49" fontId="13" fillId="2" borderId="9" xfId="0" applyNumberFormat="1" applyFont="1" applyFill="1" applyBorder="1" applyAlignment="1">
      <alignment horizontal="center"/>
    </xf>
    <xf numFmtId="0" fontId="10" fillId="0" borderId="0" xfId="0" applyFont="1" applyAlignment="1"/>
    <xf numFmtId="0" fontId="4" fillId="7" borderId="0" xfId="4" applyFont="1" applyFill="1" applyAlignment="1">
      <alignment horizontal="center"/>
    </xf>
    <xf numFmtId="0" fontId="11" fillId="6" borderId="0" xfId="0" applyFont="1" applyFill="1" applyAlignment="1">
      <alignment horizontal="center"/>
    </xf>
    <xf numFmtId="165" fontId="11" fillId="6" borderId="0" xfId="0" applyNumberFormat="1" applyFont="1" applyFill="1" applyAlignment="1">
      <alignment horizontal="center"/>
    </xf>
    <xf numFmtId="0" fontId="13" fillId="0" borderId="0" xfId="0" applyFont="1" applyFill="1" applyBorder="1" applyAlignment="1">
      <alignment vertical="center"/>
    </xf>
    <xf numFmtId="0" fontId="13" fillId="2" borderId="0" xfId="0" applyFont="1" applyFill="1" applyAlignment="1">
      <alignment horizontal="center"/>
    </xf>
    <xf numFmtId="0" fontId="13" fillId="2" borderId="0" xfId="0" applyFont="1" applyFill="1" applyBorder="1" applyAlignment="1">
      <alignment horizontal="center" vertical="center"/>
    </xf>
    <xf numFmtId="0" fontId="13" fillId="2" borderId="0" xfId="0" applyFont="1" applyFill="1" applyAlignment="1">
      <alignment horizontal="center"/>
    </xf>
    <xf numFmtId="165" fontId="11" fillId="6" borderId="5" xfId="3" applyNumberFormat="1" applyFont="1" applyFill="1" applyBorder="1"/>
    <xf numFmtId="165" fontId="11" fillId="6" borderId="16" xfId="3" applyNumberFormat="1" applyFont="1" applyFill="1" applyBorder="1"/>
    <xf numFmtId="165" fontId="11" fillId="6" borderId="18" xfId="3" applyNumberFormat="1" applyFont="1" applyFill="1" applyBorder="1"/>
    <xf numFmtId="165" fontId="11" fillId="6" borderId="19" xfId="3" applyNumberFormat="1" applyFont="1" applyFill="1" applyBorder="1"/>
    <xf numFmtId="0" fontId="13" fillId="2" borderId="18" xfId="0" applyFont="1" applyFill="1" applyBorder="1" applyAlignment="1">
      <alignment horizontal="center" vertical="center"/>
    </xf>
    <xf numFmtId="0" fontId="13" fillId="2" borderId="19" xfId="0" applyFont="1" applyFill="1" applyBorder="1" applyAlignment="1">
      <alignment horizontal="center" vertical="center"/>
    </xf>
    <xf numFmtId="0" fontId="13" fillId="2" borderId="24" xfId="0" applyFont="1" applyFill="1" applyBorder="1" applyAlignment="1">
      <alignment horizontal="center" vertical="center"/>
    </xf>
    <xf numFmtId="165" fontId="11" fillId="6" borderId="25" xfId="3" applyNumberFormat="1" applyFont="1" applyFill="1" applyBorder="1"/>
    <xf numFmtId="165" fontId="11" fillId="6" borderId="24" xfId="3" applyNumberFormat="1" applyFont="1" applyFill="1" applyBorder="1"/>
    <xf numFmtId="0" fontId="11" fillId="0" borderId="5" xfId="0" applyFont="1" applyBorder="1"/>
    <xf numFmtId="0" fontId="11" fillId="0" borderId="12" xfId="0" applyFont="1" applyBorder="1"/>
    <xf numFmtId="0" fontId="11" fillId="0" borderId="14" xfId="0" applyFont="1" applyBorder="1" applyAlignment="1">
      <alignment horizontal="right"/>
    </xf>
    <xf numFmtId="0" fontId="11" fillId="0" borderId="15" xfId="0" applyFont="1" applyBorder="1"/>
    <xf numFmtId="0" fontId="11" fillId="0" borderId="16" xfId="0" applyFont="1" applyBorder="1" applyAlignment="1">
      <alignment horizontal="right"/>
    </xf>
    <xf numFmtId="0" fontId="11" fillId="0" borderId="17" xfId="0" applyFont="1" applyBorder="1"/>
    <xf numFmtId="0" fontId="11" fillId="0" borderId="19" xfId="0" applyFont="1" applyBorder="1" applyAlignment="1">
      <alignment horizontal="right"/>
    </xf>
    <xf numFmtId="0" fontId="11" fillId="0" borderId="27" xfId="0" applyFont="1" applyBorder="1"/>
    <xf numFmtId="0" fontId="11" fillId="0" borderId="28" xfId="0" applyFont="1" applyBorder="1"/>
    <xf numFmtId="165" fontId="11" fillId="6" borderId="5" xfId="0" applyNumberFormat="1" applyFont="1" applyFill="1" applyBorder="1" applyAlignment="1">
      <alignment horizontal="right"/>
    </xf>
    <xf numFmtId="165" fontId="11" fillId="6" borderId="13" xfId="0" applyNumberFormat="1" applyFont="1" applyFill="1" applyBorder="1" applyAlignment="1">
      <alignment horizontal="right"/>
    </xf>
    <xf numFmtId="165" fontId="11" fillId="6" borderId="18" xfId="0" applyNumberFormat="1" applyFont="1" applyFill="1" applyBorder="1" applyAlignment="1">
      <alignment horizontal="right"/>
    </xf>
    <xf numFmtId="165" fontId="11" fillId="6" borderId="14" xfId="0" applyNumberFormat="1" applyFont="1" applyFill="1" applyBorder="1" applyAlignment="1">
      <alignment horizontal="right"/>
    </xf>
    <xf numFmtId="165" fontId="11" fillId="6" borderId="16" xfId="0" applyNumberFormat="1" applyFont="1" applyFill="1" applyBorder="1" applyAlignment="1">
      <alignment horizontal="right"/>
    </xf>
    <xf numFmtId="165" fontId="11" fillId="6" borderId="19" xfId="0" applyNumberFormat="1" applyFont="1" applyFill="1" applyBorder="1" applyAlignment="1">
      <alignment horizontal="right"/>
    </xf>
    <xf numFmtId="165" fontId="11" fillId="6" borderId="25" xfId="2" applyNumberFormat="1" applyFont="1" applyFill="1" applyBorder="1" applyAlignment="1">
      <alignment horizontal="right"/>
    </xf>
    <xf numFmtId="165" fontId="11" fillId="6" borderId="5" xfId="2" applyNumberFormat="1" applyFont="1" applyFill="1" applyBorder="1" applyAlignment="1">
      <alignment horizontal="right"/>
    </xf>
    <xf numFmtId="165" fontId="11" fillId="6" borderId="16" xfId="2" applyNumberFormat="1" applyFont="1" applyFill="1" applyBorder="1" applyAlignment="1">
      <alignment horizontal="right"/>
    </xf>
    <xf numFmtId="165" fontId="11" fillId="6" borderId="18" xfId="2" applyNumberFormat="1" applyFont="1" applyFill="1" applyBorder="1" applyAlignment="1">
      <alignment horizontal="right"/>
    </xf>
    <xf numFmtId="165" fontId="11" fillId="6" borderId="19" xfId="2" applyNumberFormat="1" applyFont="1" applyFill="1" applyBorder="1" applyAlignment="1">
      <alignment horizontal="right"/>
    </xf>
    <xf numFmtId="165" fontId="11" fillId="6" borderId="11" xfId="3" applyNumberFormat="1" applyFont="1" applyFill="1" applyBorder="1" applyAlignment="1"/>
    <xf numFmtId="165" fontId="11" fillId="6" borderId="21" xfId="3" applyNumberFormat="1" applyFont="1" applyFill="1" applyBorder="1" applyAlignment="1"/>
    <xf numFmtId="165" fontId="11" fillId="6" borderId="22" xfId="3" applyNumberFormat="1" applyFont="1" applyFill="1" applyBorder="1" applyAlignment="1"/>
    <xf numFmtId="165" fontId="11" fillId="6" borderId="25" xfId="3" applyNumberFormat="1" applyFont="1" applyFill="1" applyBorder="1" applyAlignment="1"/>
    <xf numFmtId="165" fontId="11" fillId="6" borderId="5" xfId="3" applyNumberFormat="1" applyFont="1" applyFill="1" applyBorder="1" applyAlignment="1"/>
    <xf numFmtId="165" fontId="11" fillId="6" borderId="16" xfId="3" applyNumberFormat="1" applyFont="1" applyFill="1" applyBorder="1" applyAlignment="1"/>
    <xf numFmtId="165" fontId="11" fillId="6" borderId="24" xfId="3" applyNumberFormat="1" applyFont="1" applyFill="1" applyBorder="1" applyAlignment="1"/>
    <xf numFmtId="165" fontId="11" fillId="6" borderId="18" xfId="3" applyNumberFormat="1" applyFont="1" applyFill="1" applyBorder="1" applyAlignment="1"/>
    <xf numFmtId="165" fontId="11" fillId="6" borderId="19" xfId="3" applyNumberFormat="1" applyFont="1" applyFill="1" applyBorder="1" applyAlignment="1"/>
    <xf numFmtId="0" fontId="14" fillId="0" borderId="5" xfId="0" applyFont="1" applyBorder="1"/>
    <xf numFmtId="166" fontId="11" fillId="6" borderId="5" xfId="0" applyNumberFormat="1" applyFont="1" applyFill="1" applyBorder="1" applyAlignment="1">
      <alignment horizontal="right"/>
    </xf>
    <xf numFmtId="165" fontId="11" fillId="6" borderId="5" xfId="0" applyNumberFormat="1" applyFont="1" applyFill="1" applyBorder="1"/>
    <xf numFmtId="9" fontId="11" fillId="9" borderId="12" xfId="3" applyFont="1" applyFill="1" applyBorder="1" applyAlignment="1">
      <alignment horizontal="center"/>
    </xf>
    <xf numFmtId="9" fontId="11" fillId="9" borderId="15" xfId="3" applyFont="1" applyFill="1" applyBorder="1" applyAlignment="1">
      <alignment horizontal="center"/>
    </xf>
    <xf numFmtId="0" fontId="11" fillId="0" borderId="23" xfId="0" applyFont="1" applyBorder="1" applyAlignment="1">
      <alignment horizontal="left"/>
    </xf>
    <xf numFmtId="43" fontId="11" fillId="6" borderId="5" xfId="0" applyNumberFormat="1" applyFont="1" applyFill="1" applyBorder="1" applyAlignment="1">
      <alignment horizontal="right"/>
    </xf>
    <xf numFmtId="0" fontId="11" fillId="0" borderId="29" xfId="0" applyFont="1" applyBorder="1" applyAlignment="1">
      <alignment horizontal="right"/>
    </xf>
    <xf numFmtId="0" fontId="11" fillId="0" borderId="31" xfId="0" applyFont="1" applyBorder="1" applyAlignment="1">
      <alignment horizontal="right"/>
    </xf>
    <xf numFmtId="0" fontId="13" fillId="2" borderId="32" xfId="0" applyFont="1" applyFill="1" applyBorder="1" applyAlignment="1">
      <alignment horizontal="center" vertical="center"/>
    </xf>
    <xf numFmtId="0" fontId="13" fillId="2" borderId="33" xfId="0" applyFont="1" applyFill="1" applyBorder="1" applyAlignment="1">
      <alignment horizontal="center" vertical="center"/>
    </xf>
    <xf numFmtId="0" fontId="13" fillId="2" borderId="34" xfId="0" applyFont="1" applyFill="1" applyBorder="1" applyAlignment="1">
      <alignment horizontal="center" vertical="center"/>
    </xf>
    <xf numFmtId="165" fontId="11" fillId="6" borderId="12" xfId="2" applyNumberFormat="1" applyFont="1" applyFill="1" applyBorder="1" applyAlignment="1">
      <alignment horizontal="right"/>
    </xf>
    <xf numFmtId="165" fontId="11" fillId="6" borderId="15" xfId="0" applyNumberFormat="1" applyFont="1" applyFill="1" applyBorder="1" applyAlignment="1">
      <alignment horizontal="right"/>
    </xf>
    <xf numFmtId="165" fontId="11" fillId="6" borderId="17" xfId="2" applyNumberFormat="1" applyFont="1" applyFill="1" applyBorder="1" applyAlignment="1">
      <alignment horizontal="right"/>
    </xf>
    <xf numFmtId="165" fontId="11" fillId="6" borderId="13" xfId="2" applyNumberFormat="1" applyFont="1" applyFill="1" applyBorder="1" applyAlignment="1">
      <alignment horizontal="right"/>
    </xf>
    <xf numFmtId="165" fontId="11" fillId="6" borderId="14" xfId="2" applyNumberFormat="1" applyFont="1" applyFill="1" applyBorder="1" applyAlignment="1">
      <alignment horizontal="right"/>
    </xf>
    <xf numFmtId="0" fontId="14" fillId="0" borderId="12" xfId="0" applyFont="1" applyBorder="1"/>
    <xf numFmtId="0" fontId="14" fillId="0" borderId="15" xfId="0" applyFont="1" applyBorder="1"/>
    <xf numFmtId="0" fontId="14" fillId="0" borderId="17" xfId="0" applyFont="1" applyBorder="1"/>
    <xf numFmtId="9" fontId="11" fillId="9" borderId="5" xfId="3" applyFont="1" applyFill="1" applyBorder="1" applyAlignment="1">
      <alignment horizontal="center"/>
    </xf>
    <xf numFmtId="0" fontId="11" fillId="0" borderId="22" xfId="0" applyFont="1" applyBorder="1" applyAlignment="1">
      <alignment horizontal="center"/>
    </xf>
    <xf numFmtId="0" fontId="11" fillId="0" borderId="16" xfId="0" applyFont="1" applyBorder="1" applyAlignment="1">
      <alignment horizontal="center"/>
    </xf>
    <xf numFmtId="9" fontId="11" fillId="0" borderId="5" xfId="3" applyFont="1" applyFill="1" applyBorder="1" applyAlignment="1">
      <alignment horizontal="right"/>
    </xf>
    <xf numFmtId="0" fontId="11" fillId="0" borderId="0" xfId="0" applyFont="1" applyAlignment="1">
      <alignment horizontal="left"/>
    </xf>
    <xf numFmtId="166" fontId="11" fillId="9" borderId="5" xfId="1" applyNumberFormat="1" applyFont="1" applyFill="1" applyBorder="1"/>
    <xf numFmtId="170" fontId="11" fillId="6" borderId="5" xfId="1" applyNumberFormat="1" applyFont="1" applyFill="1" applyBorder="1"/>
    <xf numFmtId="166" fontId="11" fillId="6" borderId="5" xfId="1" applyNumberFormat="1" applyFont="1" applyFill="1" applyBorder="1"/>
    <xf numFmtId="0" fontId="4" fillId="0" borderId="5" xfId="0" applyFont="1" applyBorder="1" applyAlignment="1">
      <alignment horizontal="center"/>
    </xf>
    <xf numFmtId="0" fontId="4" fillId="0" borderId="13" xfId="0" applyFont="1" applyBorder="1" applyAlignment="1">
      <alignment horizontal="center"/>
    </xf>
    <xf numFmtId="0" fontId="4" fillId="0" borderId="14" xfId="0" applyFont="1" applyBorder="1" applyAlignment="1">
      <alignment horizontal="center"/>
    </xf>
    <xf numFmtId="0" fontId="4" fillId="0" borderId="16" xfId="0" applyFont="1" applyBorder="1" applyAlignment="1">
      <alignment horizontal="center"/>
    </xf>
    <xf numFmtId="0" fontId="4" fillId="0" borderId="18" xfId="0" applyFont="1" applyBorder="1" applyAlignment="1">
      <alignment horizontal="center"/>
    </xf>
    <xf numFmtId="0" fontId="4" fillId="0" borderId="19" xfId="0" applyFont="1" applyBorder="1" applyAlignment="1">
      <alignment horizontal="center"/>
    </xf>
    <xf numFmtId="0" fontId="6" fillId="0" borderId="13" xfId="0" applyFont="1" applyBorder="1" applyAlignment="1">
      <alignment horizontal="center"/>
    </xf>
    <xf numFmtId="0" fontId="6" fillId="0" borderId="14" xfId="0" applyFont="1" applyBorder="1" applyAlignment="1">
      <alignment horizontal="center"/>
    </xf>
    <xf numFmtId="0" fontId="6" fillId="0" borderId="5" xfId="0" applyFont="1" applyBorder="1" applyAlignment="1">
      <alignment horizontal="center"/>
    </xf>
    <xf numFmtId="0" fontId="6" fillId="0" borderId="16" xfId="0" applyFont="1" applyBorder="1" applyAlignment="1">
      <alignment horizontal="center"/>
    </xf>
    <xf numFmtId="0" fontId="6" fillId="0" borderId="18" xfId="0" applyFont="1" applyBorder="1" applyAlignment="1">
      <alignment horizontal="center"/>
    </xf>
    <xf numFmtId="0" fontId="6" fillId="0" borderId="19" xfId="0" applyFont="1" applyBorder="1" applyAlignment="1">
      <alignment horizontal="center"/>
    </xf>
    <xf numFmtId="0" fontId="6" fillId="0" borderId="12" xfId="0" applyFont="1" applyBorder="1" applyAlignment="1">
      <alignment horizontal="center"/>
    </xf>
    <xf numFmtId="0" fontId="6" fillId="0" borderId="15" xfId="0" applyFont="1" applyBorder="1" applyAlignment="1">
      <alignment horizontal="center"/>
    </xf>
    <xf numFmtId="0" fontId="6" fillId="0" borderId="17" xfId="0" applyFont="1" applyBorder="1" applyAlignment="1">
      <alignment horizontal="center"/>
    </xf>
    <xf numFmtId="0" fontId="11" fillId="0" borderId="30" xfId="0" applyFont="1" applyBorder="1"/>
    <xf numFmtId="0" fontId="11" fillId="6" borderId="5" xfId="0" applyFont="1" applyFill="1" applyBorder="1" applyAlignment="1">
      <alignment horizontal="center"/>
    </xf>
    <xf numFmtId="0" fontId="11" fillId="9" borderId="5" xfId="0" applyFont="1" applyFill="1" applyBorder="1" applyAlignment="1">
      <alignment horizontal="center"/>
    </xf>
    <xf numFmtId="1" fontId="11" fillId="6" borderId="5" xfId="0" applyNumberFormat="1" applyFont="1" applyFill="1" applyBorder="1" applyAlignment="1">
      <alignment horizontal="center"/>
    </xf>
    <xf numFmtId="0" fontId="11" fillId="5" borderId="13" xfId="0" applyFont="1" applyFill="1" applyBorder="1" applyAlignment="1">
      <alignment horizontal="center"/>
    </xf>
    <xf numFmtId="0" fontId="11" fillId="5" borderId="14" xfId="0" applyFont="1" applyFill="1" applyBorder="1" applyAlignment="1">
      <alignment horizontal="center"/>
    </xf>
    <xf numFmtId="0" fontId="11" fillId="6" borderId="16" xfId="0" applyFont="1" applyFill="1" applyBorder="1" applyAlignment="1">
      <alignment horizontal="center"/>
    </xf>
    <xf numFmtId="1" fontId="11" fillId="6" borderId="16" xfId="0" applyNumberFormat="1" applyFont="1" applyFill="1" applyBorder="1" applyAlignment="1">
      <alignment horizontal="center"/>
    </xf>
    <xf numFmtId="0" fontId="16" fillId="0" borderId="5" xfId="0" applyFont="1" applyFill="1" applyBorder="1" applyAlignment="1">
      <alignment horizontal="center"/>
    </xf>
    <xf numFmtId="1" fontId="16" fillId="0" borderId="5" xfId="0" applyNumberFormat="1" applyFont="1" applyFill="1" applyBorder="1" applyAlignment="1">
      <alignment horizontal="center"/>
    </xf>
    <xf numFmtId="0" fontId="16" fillId="0" borderId="16" xfId="0" applyFont="1" applyFill="1" applyBorder="1" applyAlignment="1">
      <alignment horizontal="center"/>
    </xf>
    <xf numFmtId="171" fontId="11" fillId="9" borderId="5" xfId="0" applyNumberFormat="1" applyFont="1" applyFill="1" applyBorder="1" applyAlignment="1">
      <alignment horizontal="center"/>
    </xf>
    <xf numFmtId="171" fontId="11" fillId="9" borderId="16" xfId="0" applyNumberFormat="1" applyFont="1" applyFill="1" applyBorder="1" applyAlignment="1">
      <alignment horizontal="center"/>
    </xf>
    <xf numFmtId="3" fontId="11" fillId="6" borderId="5" xfId="1" applyNumberFormat="1" applyFont="1" applyFill="1" applyBorder="1" applyAlignment="1">
      <alignment horizontal="center"/>
    </xf>
    <xf numFmtId="3" fontId="11" fillId="6" borderId="16" xfId="1" applyNumberFormat="1" applyFont="1" applyFill="1" applyBorder="1" applyAlignment="1">
      <alignment horizontal="center"/>
    </xf>
    <xf numFmtId="169" fontId="11" fillId="6" borderId="18" xfId="3" applyNumberFormat="1" applyFont="1" applyFill="1" applyBorder="1" applyAlignment="1">
      <alignment horizontal="center"/>
    </xf>
    <xf numFmtId="169" fontId="11" fillId="6" borderId="19" xfId="3" applyNumberFormat="1" applyFont="1" applyFill="1" applyBorder="1" applyAlignment="1">
      <alignment horizontal="center"/>
    </xf>
    <xf numFmtId="1" fontId="11" fillId="6" borderId="25" xfId="0" applyNumberFormat="1" applyFont="1" applyFill="1" applyBorder="1" applyAlignment="1">
      <alignment horizontal="center"/>
    </xf>
    <xf numFmtId="0" fontId="11" fillId="0" borderId="14" xfId="0" applyFont="1" applyBorder="1"/>
    <xf numFmtId="0" fontId="14" fillId="0" borderId="32" xfId="0" applyFont="1" applyBorder="1"/>
    <xf numFmtId="0" fontId="11" fillId="0" borderId="14" xfId="0" applyFont="1" applyFill="1" applyBorder="1"/>
    <xf numFmtId="0" fontId="15" fillId="0" borderId="15" xfId="0" applyFont="1" applyBorder="1"/>
    <xf numFmtId="0" fontId="16" fillId="0" borderId="16" xfId="0" applyFont="1" applyFill="1" applyBorder="1"/>
    <xf numFmtId="0" fontId="16" fillId="0" borderId="16" xfId="0" applyFont="1" applyBorder="1"/>
    <xf numFmtId="0" fontId="15" fillId="0" borderId="32" xfId="0" applyFont="1" applyBorder="1"/>
    <xf numFmtId="0" fontId="16" fillId="0" borderId="34" xfId="0" applyFont="1" applyBorder="1"/>
    <xf numFmtId="0" fontId="11" fillId="0" borderId="19" xfId="0" applyFont="1" applyBorder="1"/>
    <xf numFmtId="0" fontId="11" fillId="5" borderId="12" xfId="0" applyFont="1" applyFill="1" applyBorder="1" applyAlignment="1">
      <alignment horizontal="center"/>
    </xf>
    <xf numFmtId="0" fontId="11" fillId="9" borderId="15" xfId="0" applyFont="1" applyFill="1" applyBorder="1" applyAlignment="1">
      <alignment horizontal="center"/>
    </xf>
    <xf numFmtId="1" fontId="11" fillId="6" borderId="15" xfId="0" applyNumberFormat="1" applyFont="1" applyFill="1" applyBorder="1" applyAlignment="1">
      <alignment horizontal="center"/>
    </xf>
    <xf numFmtId="171" fontId="11" fillId="9" borderId="15" xfId="0" applyNumberFormat="1" applyFont="1" applyFill="1" applyBorder="1" applyAlignment="1">
      <alignment horizontal="center"/>
    </xf>
    <xf numFmtId="3" fontId="11" fillId="6" borderId="15" xfId="1" applyNumberFormat="1" applyFont="1" applyFill="1" applyBorder="1" applyAlignment="1">
      <alignment horizontal="center"/>
    </xf>
    <xf numFmtId="0" fontId="14" fillId="0" borderId="20" xfId="0" applyFont="1" applyBorder="1"/>
    <xf numFmtId="0" fontId="11" fillId="0" borderId="6" xfId="0" applyFont="1" applyFill="1" applyBorder="1"/>
    <xf numFmtId="0" fontId="16" fillId="9" borderId="25" xfId="0" applyFont="1" applyFill="1" applyBorder="1" applyAlignment="1">
      <alignment horizontal="center"/>
    </xf>
    <xf numFmtId="0" fontId="16" fillId="9" borderId="5" xfId="0" applyFont="1" applyFill="1" applyBorder="1" applyAlignment="1">
      <alignment horizontal="center"/>
    </xf>
    <xf numFmtId="0" fontId="16" fillId="9" borderId="16" xfId="0" applyFont="1" applyFill="1" applyBorder="1" applyAlignment="1">
      <alignment horizontal="center"/>
    </xf>
    <xf numFmtId="9" fontId="16" fillId="9" borderId="25" xfId="3" applyFont="1" applyFill="1" applyBorder="1" applyAlignment="1">
      <alignment horizontal="center"/>
    </xf>
    <xf numFmtId="165" fontId="11" fillId="6" borderId="5" xfId="2" applyNumberFormat="1" applyFont="1" applyFill="1" applyBorder="1"/>
    <xf numFmtId="165" fontId="11" fillId="6" borderId="5" xfId="1" applyNumberFormat="1" applyFont="1" applyFill="1" applyBorder="1"/>
    <xf numFmtId="165" fontId="11" fillId="6" borderId="13" xfId="2" applyNumberFormat="1" applyFont="1" applyFill="1" applyBorder="1"/>
    <xf numFmtId="165" fontId="11" fillId="6" borderId="13" xfId="1" applyNumberFormat="1" applyFont="1" applyFill="1" applyBorder="1"/>
    <xf numFmtId="165" fontId="11" fillId="6" borderId="14" xfId="1" applyNumberFormat="1" applyFont="1" applyFill="1" applyBorder="1"/>
    <xf numFmtId="165" fontId="11" fillId="6" borderId="16" xfId="1" applyNumberFormat="1" applyFont="1" applyFill="1" applyBorder="1"/>
    <xf numFmtId="165" fontId="11" fillId="6" borderId="18" xfId="2" applyNumberFormat="1" applyFont="1" applyFill="1" applyBorder="1"/>
    <xf numFmtId="165" fontId="11" fillId="6" borderId="18" xfId="1" applyNumberFormat="1" applyFont="1" applyFill="1" applyBorder="1"/>
    <xf numFmtId="165" fontId="11" fillId="6" borderId="19" xfId="1" applyNumberFormat="1" applyFont="1" applyFill="1" applyBorder="1"/>
    <xf numFmtId="0" fontId="11" fillId="6" borderId="15" xfId="0" applyFont="1" applyFill="1" applyBorder="1" applyAlignment="1">
      <alignment horizontal="center"/>
    </xf>
    <xf numFmtId="0" fontId="14" fillId="0" borderId="5" xfId="0" applyFont="1" applyBorder="1" applyAlignment="1">
      <alignment horizontal="left" vertical="center"/>
    </xf>
    <xf numFmtId="165" fontId="13" fillId="3" borderId="44" xfId="0" applyNumberFormat="1" applyFont="1" applyFill="1" applyBorder="1" applyAlignment="1">
      <alignment horizontal="left" vertical="center"/>
    </xf>
    <xf numFmtId="165" fontId="13" fillId="3" borderId="45" xfId="0" applyNumberFormat="1" applyFont="1" applyFill="1" applyBorder="1" applyAlignment="1">
      <alignment horizontal="left" vertical="center"/>
    </xf>
    <xf numFmtId="165" fontId="13" fillId="3" borderId="51" xfId="0" applyNumberFormat="1" applyFont="1" applyFill="1" applyBorder="1" applyAlignment="1">
      <alignment horizontal="left" vertical="center"/>
    </xf>
    <xf numFmtId="165" fontId="13" fillId="3" borderId="43" xfId="0" applyNumberFormat="1" applyFont="1" applyFill="1" applyBorder="1" applyAlignment="1">
      <alignment horizontal="left" vertical="center"/>
    </xf>
    <xf numFmtId="0" fontId="11" fillId="0" borderId="20" xfId="0" applyFont="1" applyBorder="1"/>
    <xf numFmtId="0" fontId="11" fillId="0" borderId="22" xfId="0" applyFont="1" applyBorder="1" applyAlignment="1">
      <alignment horizontal="right"/>
    </xf>
    <xf numFmtId="165" fontId="11" fillId="6" borderId="11" xfId="3" applyNumberFormat="1" applyFont="1" applyFill="1" applyBorder="1"/>
    <xf numFmtId="165" fontId="11" fillId="6" borderId="21" xfId="3" applyNumberFormat="1" applyFont="1" applyFill="1" applyBorder="1"/>
    <xf numFmtId="165" fontId="11" fillId="6" borderId="22" xfId="3" applyNumberFormat="1" applyFont="1" applyFill="1" applyBorder="1"/>
    <xf numFmtId="0" fontId="11" fillId="0" borderId="30" xfId="0" applyFont="1" applyBorder="1" applyAlignment="1">
      <alignment horizontal="right"/>
    </xf>
    <xf numFmtId="165" fontId="11" fillId="6" borderId="23" xfId="2" applyNumberFormat="1" applyFont="1" applyFill="1" applyBorder="1"/>
    <xf numFmtId="165" fontId="11" fillId="6" borderId="25" xfId="2" applyNumberFormat="1" applyFont="1" applyFill="1" applyBorder="1"/>
    <xf numFmtId="165" fontId="11" fillId="6" borderId="24" xfId="2" applyNumberFormat="1" applyFont="1" applyFill="1" applyBorder="1"/>
    <xf numFmtId="165" fontId="11" fillId="6" borderId="23" xfId="1" applyNumberFormat="1" applyFont="1" applyFill="1" applyBorder="1"/>
    <xf numFmtId="165" fontId="11" fillId="6" borderId="25" xfId="1" applyNumberFormat="1" applyFont="1" applyFill="1" applyBorder="1"/>
    <xf numFmtId="165" fontId="11" fillId="6" borderId="24" xfId="1" applyNumberFormat="1" applyFont="1" applyFill="1" applyBorder="1"/>
    <xf numFmtId="165" fontId="11" fillId="6" borderId="12" xfId="2" applyNumberFormat="1" applyFont="1" applyFill="1" applyBorder="1"/>
    <xf numFmtId="165" fontId="11" fillId="6" borderId="14" xfId="2" applyNumberFormat="1" applyFont="1" applyFill="1" applyBorder="1"/>
    <xf numFmtId="165" fontId="11" fillId="6" borderId="15" xfId="2" applyNumberFormat="1" applyFont="1" applyFill="1" applyBorder="1"/>
    <xf numFmtId="165" fontId="11" fillId="6" borderId="16" xfId="2" applyNumberFormat="1" applyFont="1" applyFill="1" applyBorder="1"/>
    <xf numFmtId="165" fontId="11" fillId="6" borderId="17" xfId="2" applyNumberFormat="1" applyFont="1" applyFill="1" applyBorder="1"/>
    <xf numFmtId="165" fontId="11" fillId="6" borderId="19" xfId="2" applyNumberFormat="1" applyFont="1" applyFill="1" applyBorder="1"/>
    <xf numFmtId="1" fontId="11" fillId="0" borderId="18" xfId="0" applyNumberFormat="1" applyFont="1" applyFill="1" applyBorder="1" applyAlignment="1">
      <alignment horizontal="center"/>
    </xf>
    <xf numFmtId="1" fontId="11" fillId="0" borderId="19" xfId="0" applyNumberFormat="1" applyFont="1" applyFill="1" applyBorder="1" applyAlignment="1">
      <alignment horizontal="center"/>
    </xf>
    <xf numFmtId="165" fontId="13" fillId="3" borderId="44" xfId="0" applyNumberFormat="1" applyFont="1" applyFill="1" applyBorder="1" applyAlignment="1">
      <alignment horizontal="right" vertical="center"/>
    </xf>
    <xf numFmtId="165" fontId="13" fillId="3" borderId="51" xfId="0" applyNumberFormat="1" applyFont="1" applyFill="1" applyBorder="1" applyAlignment="1">
      <alignment horizontal="right" vertical="center"/>
    </xf>
    <xf numFmtId="1" fontId="11" fillId="0" borderId="24" xfId="0" applyNumberFormat="1" applyFont="1" applyFill="1" applyBorder="1" applyAlignment="1">
      <alignment horizontal="center"/>
    </xf>
    <xf numFmtId="0" fontId="13" fillId="2" borderId="41" xfId="0" applyFont="1" applyFill="1" applyBorder="1" applyAlignment="1">
      <alignment horizontal="center"/>
    </xf>
    <xf numFmtId="49" fontId="13" fillId="2" borderId="42" xfId="0" applyNumberFormat="1" applyFont="1" applyFill="1" applyBorder="1" applyAlignment="1">
      <alignment horizontal="center"/>
    </xf>
    <xf numFmtId="165" fontId="11" fillId="6" borderId="12" xfId="0" applyNumberFormat="1" applyFont="1" applyFill="1" applyBorder="1" applyAlignment="1">
      <alignment horizontal="right"/>
    </xf>
    <xf numFmtId="165" fontId="11" fillId="6" borderId="17" xfId="0" applyNumberFormat="1" applyFont="1" applyFill="1" applyBorder="1" applyAlignment="1">
      <alignment horizontal="right"/>
    </xf>
    <xf numFmtId="1" fontId="11" fillId="6" borderId="13" xfId="0" applyNumberFormat="1" applyFont="1" applyFill="1" applyBorder="1" applyAlignment="1">
      <alignment horizontal="center"/>
    </xf>
    <xf numFmtId="1" fontId="11" fillId="6" borderId="23" xfId="0" applyNumberFormat="1" applyFont="1" applyFill="1" applyBorder="1" applyAlignment="1">
      <alignment horizontal="center"/>
    </xf>
    <xf numFmtId="1" fontId="11" fillId="6" borderId="29" xfId="0" applyNumberFormat="1" applyFont="1" applyFill="1" applyBorder="1" applyAlignment="1">
      <alignment horizontal="center"/>
    </xf>
    <xf numFmtId="1" fontId="11" fillId="6" borderId="30" xfId="0" applyNumberFormat="1" applyFont="1" applyFill="1" applyBorder="1" applyAlignment="1">
      <alignment horizontal="center"/>
    </xf>
    <xf numFmtId="0" fontId="11" fillId="0" borderId="31" xfId="0" applyFont="1" applyBorder="1" applyAlignment="1">
      <alignment horizontal="center"/>
    </xf>
    <xf numFmtId="3" fontId="11" fillId="6" borderId="5" xfId="0" applyNumberFormat="1" applyFont="1" applyFill="1" applyBorder="1" applyAlignment="1">
      <alignment horizontal="center"/>
    </xf>
    <xf numFmtId="3" fontId="11" fillId="6" borderId="13" xfId="2" applyNumberFormat="1" applyFont="1" applyFill="1" applyBorder="1"/>
    <xf numFmtId="3" fontId="11" fillId="6" borderId="14" xfId="2" applyNumberFormat="1" applyFont="1" applyFill="1" applyBorder="1"/>
    <xf numFmtId="3" fontId="11" fillId="6" borderId="16" xfId="0" applyNumberFormat="1" applyFont="1" applyFill="1" applyBorder="1" applyAlignment="1">
      <alignment horizontal="center"/>
    </xf>
    <xf numFmtId="3" fontId="11" fillId="6" borderId="23" xfId="2" applyNumberFormat="1" applyFont="1" applyFill="1" applyBorder="1"/>
    <xf numFmtId="3" fontId="11" fillId="6" borderId="25" xfId="0" applyNumberFormat="1" applyFont="1" applyFill="1" applyBorder="1" applyAlignment="1">
      <alignment horizontal="center"/>
    </xf>
    <xf numFmtId="9" fontId="11" fillId="10" borderId="5" xfId="3" applyFont="1" applyFill="1" applyBorder="1" applyAlignment="1">
      <alignment horizontal="right"/>
    </xf>
    <xf numFmtId="9" fontId="11" fillId="10" borderId="5" xfId="3" applyFont="1" applyFill="1" applyBorder="1" applyAlignment="1">
      <alignment horizontal="center"/>
    </xf>
    <xf numFmtId="9" fontId="11" fillId="10" borderId="18" xfId="3" applyFont="1" applyFill="1" applyBorder="1" applyAlignment="1">
      <alignment horizontal="center"/>
    </xf>
    <xf numFmtId="0" fontId="18" fillId="0" borderId="0" xfId="0" applyFont="1"/>
    <xf numFmtId="169" fontId="11" fillId="10" borderId="15" xfId="3" applyNumberFormat="1" applyFont="1" applyFill="1" applyBorder="1" applyAlignment="1">
      <alignment horizontal="center"/>
    </xf>
    <xf numFmtId="169" fontId="11" fillId="10" borderId="5" xfId="3" applyNumberFormat="1" applyFont="1" applyFill="1" applyBorder="1" applyAlignment="1">
      <alignment horizontal="center"/>
    </xf>
    <xf numFmtId="169" fontId="11" fillId="10" borderId="16" xfId="3" applyNumberFormat="1" applyFont="1" applyFill="1" applyBorder="1" applyAlignment="1">
      <alignment horizontal="center"/>
    </xf>
    <xf numFmtId="9" fontId="11" fillId="10" borderId="17" xfId="3" applyFont="1" applyFill="1" applyBorder="1" applyAlignment="1">
      <alignment horizontal="center"/>
    </xf>
    <xf numFmtId="9" fontId="11" fillId="10" borderId="19" xfId="3" applyFont="1" applyFill="1" applyBorder="1" applyAlignment="1">
      <alignment horizontal="center"/>
    </xf>
    <xf numFmtId="9" fontId="11" fillId="10" borderId="23" xfId="3" applyFont="1" applyFill="1" applyBorder="1" applyAlignment="1">
      <alignment horizontal="center"/>
    </xf>
    <xf numFmtId="9" fontId="11" fillId="10" borderId="13" xfId="3" applyFont="1" applyFill="1" applyBorder="1" applyAlignment="1">
      <alignment horizontal="center"/>
    </xf>
    <xf numFmtId="9" fontId="11" fillId="10" borderId="29" xfId="3" applyFont="1" applyFill="1" applyBorder="1" applyAlignment="1">
      <alignment horizontal="center"/>
    </xf>
    <xf numFmtId="9" fontId="11" fillId="10" borderId="25" xfId="3" applyFont="1" applyFill="1" applyBorder="1" applyAlignment="1">
      <alignment horizontal="center"/>
    </xf>
    <xf numFmtId="9" fontId="11" fillId="10" borderId="24" xfId="3" applyFont="1" applyFill="1" applyBorder="1" applyAlignment="1">
      <alignment horizontal="center"/>
    </xf>
    <xf numFmtId="9" fontId="11" fillId="10" borderId="31" xfId="3" applyFont="1" applyFill="1" applyBorder="1" applyAlignment="1">
      <alignment horizontal="center"/>
    </xf>
    <xf numFmtId="9" fontId="11" fillId="10" borderId="15" xfId="3" applyFont="1" applyFill="1" applyBorder="1" applyAlignment="1">
      <alignment horizontal="center"/>
    </xf>
    <xf numFmtId="9" fontId="11" fillId="10" borderId="16" xfId="3" applyFont="1" applyFill="1" applyBorder="1" applyAlignment="1">
      <alignment horizontal="center"/>
    </xf>
    <xf numFmtId="9" fontId="11" fillId="10" borderId="46" xfId="3" applyFont="1" applyFill="1" applyBorder="1" applyAlignment="1">
      <alignment horizontal="center"/>
    </xf>
    <xf numFmtId="0" fontId="11" fillId="0" borderId="5" xfId="0" applyFont="1" applyFill="1" applyBorder="1"/>
    <xf numFmtId="0" fontId="11" fillId="0" borderId="5" xfId="0" applyFont="1" applyFill="1" applyBorder="1" applyAlignment="1">
      <alignment horizontal="left"/>
    </xf>
    <xf numFmtId="0" fontId="11" fillId="0" borderId="0" xfId="0" applyFont="1" applyFill="1" applyBorder="1"/>
    <xf numFmtId="167" fontId="11" fillId="0" borderId="0" xfId="2" applyNumberFormat="1" applyFont="1" applyFill="1" applyBorder="1"/>
    <xf numFmtId="0" fontId="14" fillId="0" borderId="0" xfId="0" applyFont="1" applyFill="1" applyBorder="1" applyAlignment="1">
      <alignment vertical="center" wrapText="1"/>
    </xf>
    <xf numFmtId="0" fontId="13" fillId="0" borderId="0" xfId="0" applyFont="1" applyFill="1" applyBorder="1"/>
    <xf numFmtId="0" fontId="11" fillId="0" borderId="0" xfId="0" applyFont="1" applyFill="1" applyBorder="1" applyAlignment="1"/>
    <xf numFmtId="0" fontId="11" fillId="0" borderId="0" xfId="0" applyFont="1" applyFill="1" applyBorder="1" applyAlignment="1">
      <alignment horizontal="left"/>
    </xf>
    <xf numFmtId="0" fontId="13" fillId="2" borderId="5" xfId="0" applyFont="1" applyFill="1" applyBorder="1"/>
    <xf numFmtId="0" fontId="13" fillId="2" borderId="5" xfId="0" applyFont="1" applyFill="1" applyBorder="1" applyAlignment="1">
      <alignment horizontal="center" vertical="center"/>
    </xf>
    <xf numFmtId="1" fontId="13" fillId="2" borderId="5" xfId="0" applyNumberFormat="1" applyFont="1" applyFill="1" applyBorder="1" applyAlignment="1">
      <alignment horizontal="center" vertical="center"/>
    </xf>
    <xf numFmtId="0" fontId="13" fillId="3" borderId="5" xfId="0" applyFont="1" applyFill="1" applyBorder="1" applyAlignment="1">
      <alignment horizontal="left" vertical="center"/>
    </xf>
    <xf numFmtId="9" fontId="11" fillId="9" borderId="5" xfId="3" applyFont="1" applyFill="1" applyBorder="1" applyAlignment="1">
      <alignment horizontal="right"/>
    </xf>
    <xf numFmtId="167" fontId="11" fillId="6" borderId="5" xfId="2" applyNumberFormat="1" applyFont="1" applyFill="1" applyBorder="1" applyAlignment="1">
      <alignment horizontal="right"/>
    </xf>
    <xf numFmtId="165" fontId="11" fillId="0" borderId="5" xfId="0" applyNumberFormat="1" applyFont="1" applyFill="1" applyBorder="1"/>
    <xf numFmtId="9" fontId="11" fillId="0" borderId="5" xfId="3" applyFont="1" applyFill="1" applyBorder="1"/>
    <xf numFmtId="165" fontId="11" fillId="0" borderId="5" xfId="0" applyNumberFormat="1" applyFont="1" applyBorder="1"/>
    <xf numFmtId="169" fontId="11" fillId="6" borderId="5" xfId="3" applyNumberFormat="1" applyFont="1" applyFill="1" applyBorder="1"/>
    <xf numFmtId="0" fontId="14" fillId="0" borderId="5" xfId="0" applyFont="1" applyBorder="1" applyAlignment="1">
      <alignment horizontal="left" vertical="center" wrapText="1"/>
    </xf>
    <xf numFmtId="0" fontId="15" fillId="0" borderId="5" xfId="0" applyFont="1" applyFill="1" applyBorder="1"/>
    <xf numFmtId="0" fontId="14" fillId="0" borderId="5" xfId="0" applyFont="1" applyBorder="1" applyAlignment="1">
      <alignment horizontal="right"/>
    </xf>
    <xf numFmtId="0" fontId="11" fillId="0" borderId="5" xfId="0" applyFont="1" applyFill="1" applyBorder="1" applyAlignment="1"/>
    <xf numFmtId="0" fontId="14" fillId="0" borderId="5" xfId="0" applyFont="1" applyFill="1" applyBorder="1" applyAlignment="1">
      <alignment horizontal="left" vertical="center"/>
    </xf>
    <xf numFmtId="0" fontId="14" fillId="0" borderId="5" xfId="0" applyFont="1" applyFill="1" applyBorder="1"/>
    <xf numFmtId="0" fontId="19" fillId="0" borderId="0" xfId="0" applyFont="1" applyFill="1"/>
    <xf numFmtId="0" fontId="11" fillId="0" borderId="0" xfId="0" applyFont="1" applyFill="1" applyAlignment="1">
      <alignment horizontal="center"/>
    </xf>
    <xf numFmtId="165" fontId="11" fillId="0" borderId="0" xfId="0" applyNumberFormat="1" applyFont="1" applyFill="1"/>
    <xf numFmtId="167" fontId="11" fillId="0" borderId="0" xfId="0" applyNumberFormat="1" applyFont="1" applyFill="1" applyAlignment="1">
      <alignment horizontal="center"/>
    </xf>
    <xf numFmtId="0" fontId="11" fillId="0" borderId="26" xfId="0" applyFont="1" applyFill="1" applyBorder="1"/>
    <xf numFmtId="0" fontId="11" fillId="0" borderId="27" xfId="0" applyFont="1" applyFill="1" applyBorder="1"/>
    <xf numFmtId="165" fontId="11" fillId="0" borderId="25" xfId="0" applyNumberFormat="1" applyFont="1" applyFill="1" applyBorder="1"/>
    <xf numFmtId="0" fontId="11" fillId="0" borderId="25" xfId="0" applyFont="1" applyFill="1" applyBorder="1" applyAlignment="1">
      <alignment horizontal="left"/>
    </xf>
    <xf numFmtId="0" fontId="11" fillId="0" borderId="24" xfId="0" applyFont="1" applyFill="1" applyBorder="1" applyAlignment="1">
      <alignment horizontal="left"/>
    </xf>
    <xf numFmtId="0" fontId="11" fillId="0" borderId="22" xfId="0" applyFont="1" applyFill="1" applyBorder="1"/>
    <xf numFmtId="9" fontId="11" fillId="9" borderId="16" xfId="3" applyFont="1" applyFill="1" applyBorder="1" applyAlignment="1">
      <alignment horizontal="center"/>
    </xf>
    <xf numFmtId="0" fontId="11" fillId="9" borderId="16" xfId="0" applyFont="1" applyFill="1" applyBorder="1" applyAlignment="1">
      <alignment horizontal="center"/>
    </xf>
    <xf numFmtId="9" fontId="11" fillId="9" borderId="13" xfId="3" applyFont="1" applyFill="1" applyBorder="1" applyAlignment="1">
      <alignment horizontal="center"/>
    </xf>
    <xf numFmtId="9" fontId="11" fillId="9" borderId="14" xfId="3" applyFont="1" applyFill="1" applyBorder="1" applyAlignment="1">
      <alignment horizontal="center"/>
    </xf>
    <xf numFmtId="9" fontId="16" fillId="9" borderId="15" xfId="3" applyFont="1" applyFill="1" applyBorder="1" applyAlignment="1">
      <alignment horizontal="center"/>
    </xf>
    <xf numFmtId="9" fontId="16" fillId="9" borderId="35" xfId="3" applyFont="1" applyFill="1" applyBorder="1" applyAlignment="1">
      <alignment horizontal="center"/>
    </xf>
    <xf numFmtId="0" fontId="16" fillId="9" borderId="15" xfId="0" applyFont="1" applyFill="1" applyBorder="1" applyAlignment="1">
      <alignment horizontal="center"/>
    </xf>
    <xf numFmtId="0" fontId="16" fillId="9" borderId="35" xfId="0" applyFont="1" applyFill="1" applyBorder="1" applyAlignment="1">
      <alignment horizontal="center"/>
    </xf>
    <xf numFmtId="0" fontId="16" fillId="9" borderId="17" xfId="0" applyFont="1" applyFill="1" applyBorder="1" applyAlignment="1">
      <alignment horizontal="center"/>
    </xf>
    <xf numFmtId="0" fontId="16" fillId="9" borderId="24" xfId="0" applyFont="1" applyFill="1" applyBorder="1" applyAlignment="1">
      <alignment horizontal="center"/>
    </xf>
    <xf numFmtId="0" fontId="16" fillId="9" borderId="46" xfId="0" applyFont="1" applyFill="1" applyBorder="1" applyAlignment="1">
      <alignment horizontal="center"/>
    </xf>
    <xf numFmtId="0" fontId="16" fillId="0" borderId="15" xfId="0" applyFont="1" applyFill="1" applyBorder="1" applyAlignment="1">
      <alignment horizontal="center"/>
    </xf>
    <xf numFmtId="0" fontId="16" fillId="0" borderId="17" xfId="0" applyFont="1" applyFill="1" applyBorder="1" applyAlignment="1">
      <alignment horizontal="center"/>
    </xf>
    <xf numFmtId="0" fontId="16" fillId="0" borderId="18" xfId="0" applyFont="1" applyFill="1" applyBorder="1" applyAlignment="1">
      <alignment horizontal="center"/>
    </xf>
    <xf numFmtId="1" fontId="16" fillId="0" borderId="18" xfId="0" applyNumberFormat="1" applyFont="1" applyFill="1" applyBorder="1" applyAlignment="1">
      <alignment horizontal="center"/>
    </xf>
    <xf numFmtId="0" fontId="16" fillId="0" borderId="19" xfId="0" applyFont="1" applyFill="1" applyBorder="1" applyAlignment="1">
      <alignment horizontal="center"/>
    </xf>
    <xf numFmtId="0" fontId="13" fillId="2" borderId="12" xfId="0" applyFont="1" applyFill="1" applyBorder="1"/>
    <xf numFmtId="0" fontId="13" fillId="2" borderId="13" xfId="0" applyFont="1" applyFill="1" applyBorder="1"/>
    <xf numFmtId="0" fontId="13" fillId="2" borderId="14" xfId="0" applyFont="1" applyFill="1" applyBorder="1"/>
    <xf numFmtId="9" fontId="11" fillId="9" borderId="16" xfId="3" applyFont="1" applyFill="1" applyBorder="1" applyAlignment="1">
      <alignment horizontal="right"/>
    </xf>
    <xf numFmtId="0" fontId="11" fillId="0" borderId="18" xfId="0" applyFont="1" applyBorder="1"/>
    <xf numFmtId="0" fontId="6" fillId="0" borderId="0" xfId="4" applyFont="1"/>
    <xf numFmtId="0" fontId="11" fillId="0" borderId="32" xfId="0" applyFont="1" applyBorder="1"/>
    <xf numFmtId="0" fontId="11" fillId="0" borderId="34" xfId="0" applyFont="1" applyBorder="1" applyAlignment="1">
      <alignment horizontal="right"/>
    </xf>
    <xf numFmtId="3" fontId="11" fillId="6" borderId="7" xfId="0" applyNumberFormat="1" applyFont="1" applyFill="1" applyBorder="1" applyAlignment="1">
      <alignment horizontal="center"/>
    </xf>
    <xf numFmtId="3" fontId="11" fillId="6" borderId="33" xfId="0" applyNumberFormat="1" applyFont="1" applyFill="1" applyBorder="1" applyAlignment="1">
      <alignment horizontal="center"/>
    </xf>
    <xf numFmtId="3" fontId="11" fillId="6" borderId="34" xfId="0" applyNumberFormat="1" applyFont="1" applyFill="1" applyBorder="1" applyAlignment="1">
      <alignment horizontal="center"/>
    </xf>
    <xf numFmtId="0" fontId="13" fillId="3" borderId="47" xfId="0" applyFont="1" applyFill="1" applyBorder="1" applyAlignment="1">
      <alignment vertical="center"/>
    </xf>
    <xf numFmtId="0" fontId="13" fillId="3" borderId="48" xfId="0" applyFont="1" applyFill="1" applyBorder="1" applyAlignment="1">
      <alignment vertical="center"/>
    </xf>
    <xf numFmtId="0" fontId="13" fillId="3" borderId="49" xfId="0" applyFont="1" applyFill="1" applyBorder="1" applyAlignment="1">
      <alignment vertical="center"/>
    </xf>
    <xf numFmtId="0" fontId="11" fillId="0" borderId="0" xfId="0" applyFont="1" applyAlignment="1"/>
    <xf numFmtId="0" fontId="11" fillId="6" borderId="20" xfId="0" applyFont="1" applyFill="1" applyBorder="1" applyAlignment="1">
      <alignment horizontal="center"/>
    </xf>
    <xf numFmtId="0" fontId="11" fillId="6" borderId="21" xfId="0" applyFont="1" applyFill="1" applyBorder="1" applyAlignment="1">
      <alignment horizontal="center"/>
    </xf>
    <xf numFmtId="0" fontId="11" fillId="6" borderId="22" xfId="0" applyFont="1" applyFill="1" applyBorder="1" applyAlignment="1">
      <alignment horizontal="center"/>
    </xf>
    <xf numFmtId="9" fontId="16" fillId="8" borderId="5" xfId="3" applyFont="1" applyFill="1" applyBorder="1" applyAlignment="1">
      <alignment horizontal="center"/>
    </xf>
    <xf numFmtId="9" fontId="16" fillId="8" borderId="16" xfId="3" applyFont="1" applyFill="1" applyBorder="1" applyAlignment="1">
      <alignment horizontal="center"/>
    </xf>
    <xf numFmtId="9" fontId="16" fillId="8" borderId="15" xfId="3" applyFont="1" applyFill="1" applyBorder="1" applyAlignment="1">
      <alignment horizontal="center"/>
    </xf>
    <xf numFmtId="0" fontId="11" fillId="0" borderId="16" xfId="0" applyFont="1" applyBorder="1"/>
    <xf numFmtId="0" fontId="11" fillId="0" borderId="22" xfId="0" applyFont="1" applyBorder="1"/>
    <xf numFmtId="0" fontId="16" fillId="0" borderId="19" xfId="0" applyFont="1" applyFill="1" applyBorder="1"/>
    <xf numFmtId="0" fontId="15" fillId="0" borderId="15" xfId="0" applyFont="1" applyFill="1" applyBorder="1"/>
    <xf numFmtId="0" fontId="15" fillId="0" borderId="17" xfId="0" applyFont="1" applyFill="1" applyBorder="1"/>
    <xf numFmtId="0" fontId="13" fillId="3" borderId="51" xfId="0" applyFont="1" applyFill="1" applyBorder="1" applyAlignment="1">
      <alignment vertical="center"/>
    </xf>
    <xf numFmtId="0" fontId="15" fillId="0" borderId="20" xfId="0" applyFont="1" applyBorder="1"/>
    <xf numFmtId="0" fontId="16" fillId="0" borderId="22" xfId="0" applyFont="1" applyBorder="1"/>
    <xf numFmtId="0" fontId="16" fillId="0" borderId="20" xfId="0" applyFont="1" applyFill="1" applyBorder="1" applyAlignment="1">
      <alignment horizontal="center"/>
    </xf>
    <xf numFmtId="0" fontId="16" fillId="0" borderId="21" xfId="0" applyFont="1" applyFill="1" applyBorder="1" applyAlignment="1">
      <alignment horizontal="center"/>
    </xf>
    <xf numFmtId="1" fontId="16" fillId="0" borderId="21" xfId="0" applyNumberFormat="1" applyFont="1" applyFill="1" applyBorder="1" applyAlignment="1">
      <alignment horizontal="center"/>
    </xf>
    <xf numFmtId="0" fontId="16" fillId="0" borderId="22" xfId="0" applyFont="1" applyFill="1" applyBorder="1" applyAlignment="1">
      <alignment horizontal="center"/>
    </xf>
    <xf numFmtId="0" fontId="15" fillId="0" borderId="17" xfId="0" applyFont="1" applyBorder="1"/>
    <xf numFmtId="0" fontId="16" fillId="0" borderId="19" xfId="0" applyFont="1" applyBorder="1"/>
    <xf numFmtId="0" fontId="11" fillId="0" borderId="6" xfId="0" applyFont="1" applyBorder="1"/>
    <xf numFmtId="0" fontId="11" fillId="8" borderId="32" xfId="0" applyFont="1" applyFill="1" applyBorder="1" applyAlignment="1">
      <alignment horizontal="center"/>
    </xf>
    <xf numFmtId="0" fontId="11" fillId="8" borderId="33" xfId="0" applyFont="1" applyFill="1" applyBorder="1" applyAlignment="1">
      <alignment horizontal="center"/>
    </xf>
    <xf numFmtId="0" fontId="11" fillId="8" borderId="34" xfId="0" applyFont="1" applyFill="1" applyBorder="1" applyAlignment="1">
      <alignment horizontal="center"/>
    </xf>
    <xf numFmtId="0" fontId="11" fillId="0" borderId="29" xfId="0" applyFont="1" applyFill="1" applyBorder="1"/>
    <xf numFmtId="3" fontId="11" fillId="6" borderId="12" xfId="1" applyNumberFormat="1" applyFont="1" applyFill="1" applyBorder="1" applyAlignment="1">
      <alignment horizontal="center"/>
    </xf>
    <xf numFmtId="3" fontId="11" fillId="6" borderId="13" xfId="1" applyNumberFormat="1" applyFont="1" applyFill="1" applyBorder="1" applyAlignment="1">
      <alignment horizontal="center"/>
    </xf>
    <xf numFmtId="3" fontId="11" fillId="6" borderId="14" xfId="1" applyNumberFormat="1" applyFont="1" applyFill="1" applyBorder="1" applyAlignment="1">
      <alignment horizontal="center"/>
    </xf>
    <xf numFmtId="0" fontId="11" fillId="0" borderId="31" xfId="0" applyFont="1" applyFill="1" applyBorder="1"/>
    <xf numFmtId="2" fontId="11" fillId="6" borderId="17" xfId="3" applyNumberFormat="1" applyFont="1" applyFill="1" applyBorder="1" applyAlignment="1">
      <alignment horizontal="center"/>
    </xf>
    <xf numFmtId="2" fontId="11" fillId="6" borderId="18" xfId="3" applyNumberFormat="1" applyFont="1" applyFill="1" applyBorder="1" applyAlignment="1">
      <alignment horizontal="center"/>
    </xf>
    <xf numFmtId="2" fontId="11" fillId="6" borderId="19" xfId="3" applyNumberFormat="1" applyFont="1" applyFill="1" applyBorder="1" applyAlignment="1">
      <alignment horizontal="center"/>
    </xf>
    <xf numFmtId="9" fontId="11" fillId="10" borderId="5" xfId="3" applyNumberFormat="1" applyFont="1" applyFill="1" applyBorder="1" applyAlignment="1">
      <alignment horizontal="center"/>
    </xf>
    <xf numFmtId="0" fontId="11" fillId="0" borderId="15" xfId="0" applyFont="1" applyBorder="1" applyAlignment="1">
      <alignment wrapText="1"/>
    </xf>
    <xf numFmtId="165" fontId="11" fillId="6" borderId="15" xfId="2" applyNumberFormat="1" applyFont="1" applyFill="1" applyBorder="1" applyAlignment="1">
      <alignment horizontal="right"/>
    </xf>
    <xf numFmtId="165" fontId="11" fillId="6" borderId="35" xfId="2" applyNumberFormat="1" applyFont="1" applyFill="1" applyBorder="1" applyAlignment="1">
      <alignment horizontal="right"/>
    </xf>
    <xf numFmtId="0" fontId="10" fillId="0" borderId="0" xfId="0" applyFont="1" applyBorder="1" applyAlignment="1"/>
    <xf numFmtId="0" fontId="4" fillId="7" borderId="0" xfId="4" applyFont="1" applyFill="1" applyAlignment="1">
      <alignment horizontal="left" wrapText="1"/>
    </xf>
    <xf numFmtId="0" fontId="6" fillId="7" borderId="0" xfId="4" applyFont="1" applyFill="1" applyAlignment="1">
      <alignment horizontal="left" wrapText="1"/>
    </xf>
    <xf numFmtId="0" fontId="4" fillId="0" borderId="0" xfId="4" applyFont="1" applyFill="1" applyAlignment="1">
      <alignment horizontal="left" wrapText="1"/>
    </xf>
    <xf numFmtId="0" fontId="4" fillId="0" borderId="0" xfId="4" applyFont="1" applyFill="1" applyAlignment="1">
      <alignment horizontal="left"/>
    </xf>
    <xf numFmtId="0" fontId="4" fillId="7" borderId="0" xfId="4" applyFont="1" applyFill="1" applyAlignment="1">
      <alignment horizontal="left" wrapText="1"/>
    </xf>
    <xf numFmtId="0" fontId="4" fillId="5" borderId="5" xfId="0" applyFont="1" applyFill="1" applyBorder="1"/>
    <xf numFmtId="0" fontId="4" fillId="0" borderId="5" xfId="0" applyFont="1" applyFill="1" applyBorder="1"/>
    <xf numFmtId="0" fontId="4" fillId="9" borderId="5" xfId="0" applyFont="1" applyFill="1" applyBorder="1"/>
    <xf numFmtId="0" fontId="4" fillId="10" borderId="5" xfId="0" applyFont="1" applyFill="1" applyBorder="1"/>
    <xf numFmtId="0" fontId="4" fillId="0" borderId="5" xfId="0" applyFont="1" applyFill="1" applyBorder="1" applyAlignment="1">
      <alignment horizontal="left"/>
    </xf>
    <xf numFmtId="0" fontId="4" fillId="8" borderId="5" xfId="0" applyFont="1" applyFill="1" applyBorder="1"/>
    <xf numFmtId="0" fontId="4" fillId="6" borderId="5" xfId="0" applyFont="1" applyFill="1" applyBorder="1"/>
    <xf numFmtId="0" fontId="2" fillId="0" borderId="0" xfId="4"/>
    <xf numFmtId="0" fontId="11" fillId="0" borderId="0" xfId="4" applyFont="1"/>
    <xf numFmtId="0" fontId="4" fillId="7" borderId="0" xfId="4" applyFont="1" applyFill="1" applyAlignment="1">
      <alignment horizontal="left" vertical="top" wrapText="1"/>
    </xf>
    <xf numFmtId="9" fontId="11" fillId="10" borderId="12" xfId="3" applyFont="1" applyFill="1" applyBorder="1" applyAlignment="1">
      <alignment horizontal="center"/>
    </xf>
    <xf numFmtId="9" fontId="11" fillId="10" borderId="21" xfId="3" applyFont="1" applyFill="1" applyBorder="1" applyAlignment="1">
      <alignment horizontal="center"/>
    </xf>
    <xf numFmtId="9" fontId="11" fillId="10" borderId="30" xfId="3" applyFont="1" applyFill="1" applyBorder="1" applyAlignment="1">
      <alignment horizontal="center"/>
    </xf>
    <xf numFmtId="165" fontId="11" fillId="8" borderId="5" xfId="1" applyNumberFormat="1" applyFont="1" applyFill="1" applyBorder="1"/>
    <xf numFmtId="165" fontId="11" fillId="10" borderId="21" xfId="2" applyNumberFormat="1" applyFont="1" applyFill="1" applyBorder="1" applyAlignment="1">
      <alignment horizontal="center"/>
    </xf>
    <xf numFmtId="165" fontId="11" fillId="10" borderId="5" xfId="3" applyNumberFormat="1" applyFont="1" applyFill="1" applyBorder="1" applyAlignment="1">
      <alignment horizontal="center"/>
    </xf>
    <xf numFmtId="165" fontId="11" fillId="10" borderId="5" xfId="2" applyNumberFormat="1" applyFont="1" applyFill="1" applyBorder="1" applyAlignment="1">
      <alignment horizontal="center"/>
    </xf>
    <xf numFmtId="165" fontId="11" fillId="10" borderId="5" xfId="0" applyNumberFormat="1" applyFont="1" applyFill="1" applyBorder="1" applyAlignment="1">
      <alignment horizontal="center"/>
    </xf>
    <xf numFmtId="165" fontId="11" fillId="10" borderId="14" xfId="2" applyNumberFormat="1" applyFont="1" applyFill="1" applyBorder="1" applyAlignment="1">
      <alignment horizontal="center"/>
    </xf>
    <xf numFmtId="165" fontId="11" fillId="10" borderId="16" xfId="2" applyNumberFormat="1" applyFont="1" applyFill="1" applyBorder="1" applyAlignment="1">
      <alignment horizontal="center"/>
    </xf>
    <xf numFmtId="165" fontId="11" fillId="10" borderId="16" xfId="0" applyNumberFormat="1" applyFont="1" applyFill="1" applyBorder="1" applyAlignment="1">
      <alignment horizontal="center"/>
    </xf>
    <xf numFmtId="0" fontId="11" fillId="0" borderId="29" xfId="0" applyFont="1" applyBorder="1" applyAlignment="1">
      <alignment horizontal="center"/>
    </xf>
    <xf numFmtId="3" fontId="11" fillId="10" borderId="30" xfId="1" applyNumberFormat="1" applyFont="1" applyFill="1" applyBorder="1" applyAlignment="1">
      <alignment horizontal="center"/>
    </xf>
    <xf numFmtId="3" fontId="11" fillId="0" borderId="30" xfId="0" applyNumberFormat="1" applyFont="1" applyFill="1" applyBorder="1" applyAlignment="1">
      <alignment horizontal="center"/>
    </xf>
    <xf numFmtId="0" fontId="11" fillId="10" borderId="16" xfId="0" applyFont="1" applyFill="1" applyBorder="1" applyAlignment="1">
      <alignment horizontal="center"/>
    </xf>
    <xf numFmtId="165" fontId="16" fillId="5" borderId="15" xfId="1" applyNumberFormat="1" applyFont="1" applyFill="1" applyBorder="1" applyAlignment="1">
      <alignment horizontal="center"/>
    </xf>
    <xf numFmtId="165" fontId="16" fillId="5" borderId="5" xfId="1" applyNumberFormat="1" applyFont="1" applyFill="1" applyBorder="1" applyAlignment="1">
      <alignment horizontal="center"/>
    </xf>
    <xf numFmtId="165" fontId="16" fillId="5" borderId="16" xfId="1" applyNumberFormat="1" applyFont="1" applyFill="1" applyBorder="1" applyAlignment="1">
      <alignment horizontal="center"/>
    </xf>
    <xf numFmtId="165" fontId="16" fillId="6" borderId="17" xfId="0" applyNumberFormat="1" applyFont="1" applyFill="1" applyBorder="1" applyAlignment="1">
      <alignment horizontal="center"/>
    </xf>
    <xf numFmtId="165" fontId="16" fillId="6" borderId="18" xfId="0" applyNumberFormat="1" applyFont="1" applyFill="1" applyBorder="1" applyAlignment="1">
      <alignment horizontal="center"/>
    </xf>
    <xf numFmtId="165" fontId="16" fillId="6" borderId="19" xfId="0" applyNumberFormat="1" applyFont="1" applyFill="1" applyBorder="1" applyAlignment="1">
      <alignment horizontal="center"/>
    </xf>
    <xf numFmtId="165" fontId="11" fillId="8" borderId="12" xfId="3" applyNumberFormat="1" applyFont="1" applyFill="1" applyBorder="1" applyAlignment="1">
      <alignment horizontal="center"/>
    </xf>
    <xf numFmtId="165" fontId="11" fillId="8" borderId="13" xfId="3" applyNumberFormat="1" applyFont="1" applyFill="1" applyBorder="1" applyAlignment="1">
      <alignment horizontal="center"/>
    </xf>
    <xf numFmtId="165" fontId="11" fillId="8" borderId="14" xfId="3" applyNumberFormat="1" applyFont="1" applyFill="1" applyBorder="1" applyAlignment="1">
      <alignment horizontal="center"/>
    </xf>
    <xf numFmtId="165" fontId="11" fillId="6" borderId="17" xfId="3" applyNumberFormat="1" applyFont="1" applyFill="1" applyBorder="1" applyAlignment="1">
      <alignment horizontal="center"/>
    </xf>
    <xf numFmtId="165" fontId="11" fillId="6" borderId="18" xfId="3" applyNumberFormat="1" applyFont="1" applyFill="1" applyBorder="1" applyAlignment="1">
      <alignment horizontal="center"/>
    </xf>
    <xf numFmtId="165" fontId="11" fillId="6" borderId="19" xfId="3" applyNumberFormat="1" applyFont="1" applyFill="1" applyBorder="1" applyAlignment="1">
      <alignment horizontal="center"/>
    </xf>
    <xf numFmtId="165" fontId="11" fillId="6" borderId="13" xfId="0" applyNumberFormat="1" applyFont="1" applyFill="1" applyBorder="1" applyAlignment="1">
      <alignment horizontal="center"/>
    </xf>
    <xf numFmtId="165" fontId="11" fillId="6" borderId="14" xfId="0" applyNumberFormat="1" applyFont="1" applyFill="1" applyBorder="1" applyAlignment="1">
      <alignment horizontal="center"/>
    </xf>
    <xf numFmtId="165" fontId="11" fillId="6" borderId="18" xfId="0" applyNumberFormat="1" applyFont="1" applyFill="1" applyBorder="1" applyAlignment="1">
      <alignment horizontal="center"/>
    </xf>
    <xf numFmtId="165" fontId="11" fillId="6" borderId="19" xfId="0" applyNumberFormat="1" applyFont="1" applyFill="1" applyBorder="1" applyAlignment="1">
      <alignment horizontal="center"/>
    </xf>
    <xf numFmtId="165" fontId="11" fillId="6" borderId="5" xfId="0" applyNumberFormat="1" applyFont="1" applyFill="1" applyBorder="1" applyAlignment="1">
      <alignment horizontal="center"/>
    </xf>
    <xf numFmtId="165" fontId="11" fillId="6" borderId="16" xfId="0" applyNumberFormat="1" applyFont="1" applyFill="1" applyBorder="1" applyAlignment="1">
      <alignment horizontal="center"/>
    </xf>
    <xf numFmtId="164" fontId="11" fillId="6" borderId="13" xfId="0" applyNumberFormat="1" applyFont="1" applyFill="1" applyBorder="1" applyAlignment="1">
      <alignment horizontal="center"/>
    </xf>
    <xf numFmtId="164" fontId="11" fillId="6" borderId="14" xfId="0" applyNumberFormat="1" applyFont="1" applyFill="1" applyBorder="1" applyAlignment="1">
      <alignment horizontal="center"/>
    </xf>
    <xf numFmtId="171" fontId="11" fillId="5" borderId="5" xfId="0" applyNumberFormat="1" applyFont="1" applyFill="1" applyBorder="1" applyAlignment="1">
      <alignment horizontal="right"/>
    </xf>
    <xf numFmtId="165" fontId="11" fillId="5" borderId="5" xfId="2" applyNumberFormat="1" applyFont="1" applyFill="1" applyBorder="1" applyAlignment="1">
      <alignment horizontal="right"/>
    </xf>
    <xf numFmtId="9" fontId="11" fillId="8" borderId="5" xfId="3" applyFont="1" applyFill="1" applyBorder="1" applyAlignment="1">
      <alignment horizontal="right"/>
    </xf>
    <xf numFmtId="10" fontId="11" fillId="10" borderId="5" xfId="3" applyNumberFormat="1" applyFont="1" applyFill="1" applyBorder="1" applyAlignment="1">
      <alignment horizontal="right"/>
    </xf>
    <xf numFmtId="0" fontId="11" fillId="9" borderId="5" xfId="0" applyFont="1" applyFill="1" applyBorder="1" applyAlignment="1">
      <alignment horizontal="right"/>
    </xf>
    <xf numFmtId="165" fontId="11" fillId="10" borderId="15" xfId="2" applyNumberFormat="1" applyFont="1" applyFill="1" applyBorder="1" applyAlignment="1">
      <alignment horizontal="center"/>
    </xf>
    <xf numFmtId="165" fontId="11" fillId="10" borderId="15" xfId="0" applyNumberFormat="1" applyFont="1" applyFill="1" applyBorder="1" applyAlignment="1">
      <alignment horizontal="center"/>
    </xf>
    <xf numFmtId="165" fontId="11" fillId="10" borderId="12" xfId="2" applyNumberFormat="1" applyFont="1" applyFill="1" applyBorder="1" applyAlignment="1">
      <alignment horizontal="center"/>
    </xf>
    <xf numFmtId="165" fontId="11" fillId="10" borderId="13" xfId="2" applyNumberFormat="1" applyFont="1" applyFill="1" applyBorder="1" applyAlignment="1">
      <alignment horizontal="center"/>
    </xf>
    <xf numFmtId="165" fontId="11" fillId="10" borderId="32" xfId="2" applyNumberFormat="1" applyFont="1" applyFill="1" applyBorder="1" applyAlignment="1">
      <alignment horizontal="center"/>
    </xf>
    <xf numFmtId="165" fontId="11" fillId="10" borderId="33" xfId="2" applyNumberFormat="1" applyFont="1" applyFill="1" applyBorder="1" applyAlignment="1">
      <alignment horizontal="center"/>
    </xf>
    <xf numFmtId="165" fontId="11" fillId="10" borderId="34" xfId="2" applyNumberFormat="1" applyFont="1" applyFill="1" applyBorder="1" applyAlignment="1">
      <alignment horizontal="center"/>
    </xf>
    <xf numFmtId="9" fontId="11" fillId="10" borderId="14" xfId="3" applyFont="1" applyFill="1" applyBorder="1" applyAlignment="1">
      <alignment horizontal="center"/>
    </xf>
    <xf numFmtId="1" fontId="11" fillId="10" borderId="25" xfId="0" applyNumberFormat="1" applyFont="1" applyFill="1" applyBorder="1" applyAlignment="1">
      <alignment horizontal="center"/>
    </xf>
    <xf numFmtId="1" fontId="11" fillId="10" borderId="5" xfId="0" applyNumberFormat="1" applyFont="1" applyFill="1" applyBorder="1" applyAlignment="1">
      <alignment horizontal="center"/>
    </xf>
    <xf numFmtId="1" fontId="11" fillId="10" borderId="30" xfId="0" applyNumberFormat="1" applyFont="1" applyFill="1" applyBorder="1" applyAlignment="1">
      <alignment horizontal="center"/>
    </xf>
    <xf numFmtId="1" fontId="11" fillId="10" borderId="24" xfId="0" applyNumberFormat="1" applyFont="1" applyFill="1" applyBorder="1" applyAlignment="1">
      <alignment horizontal="center"/>
    </xf>
    <xf numFmtId="1" fontId="11" fillId="10" borderId="18" xfId="0" applyNumberFormat="1" applyFont="1" applyFill="1" applyBorder="1" applyAlignment="1">
      <alignment horizontal="center"/>
    </xf>
    <xf numFmtId="1" fontId="11" fillId="10" borderId="31" xfId="0" applyNumberFormat="1" applyFont="1" applyFill="1" applyBorder="1" applyAlignment="1">
      <alignment horizontal="center"/>
    </xf>
    <xf numFmtId="0" fontId="4" fillId="7" borderId="0" xfId="4" applyFont="1" applyFill="1" applyAlignment="1">
      <alignment horizontal="left" wrapText="1"/>
    </xf>
    <xf numFmtId="0" fontId="4" fillId="7" borderId="0" xfId="4" applyFont="1" applyFill="1" applyAlignment="1">
      <alignment horizontal="left" vertical="top" wrapText="1"/>
    </xf>
    <xf numFmtId="0" fontId="4" fillId="7" borderId="0" xfId="4" applyFont="1" applyFill="1" applyAlignment="1">
      <alignment horizontal="left" vertical="top"/>
    </xf>
    <xf numFmtId="0" fontId="4" fillId="7" borderId="0" xfId="4" applyFont="1" applyFill="1" applyAlignment="1">
      <alignment horizontal="left"/>
    </xf>
    <xf numFmtId="0" fontId="8" fillId="7" borderId="0" xfId="4" applyFont="1" applyFill="1" applyAlignment="1">
      <alignment horizontal="left" wrapText="1"/>
    </xf>
    <xf numFmtId="0" fontId="4" fillId="0" borderId="0" xfId="4" applyFont="1" applyAlignment="1">
      <alignment horizontal="left" vertical="top" wrapText="1"/>
    </xf>
    <xf numFmtId="0" fontId="13" fillId="3" borderId="15" xfId="0" applyFont="1" applyFill="1" applyBorder="1" applyAlignment="1">
      <alignment horizontal="left" vertical="center"/>
    </xf>
    <xf numFmtId="0" fontId="13" fillId="3" borderId="17" xfId="0" applyFont="1" applyFill="1" applyBorder="1" applyAlignment="1">
      <alignment horizontal="left" vertical="center"/>
    </xf>
    <xf numFmtId="0" fontId="13" fillId="3" borderId="33" xfId="0" applyFont="1" applyFill="1" applyBorder="1" applyAlignment="1">
      <alignment horizontal="center" vertical="center"/>
    </xf>
    <xf numFmtId="0" fontId="13" fillId="3" borderId="54" xfId="0" applyFont="1" applyFill="1" applyBorder="1" applyAlignment="1">
      <alignment horizontal="center" vertical="center"/>
    </xf>
    <xf numFmtId="0" fontId="11" fillId="0" borderId="6" xfId="0" applyFont="1" applyBorder="1" applyAlignment="1">
      <alignment horizontal="left" vertical="top" wrapText="1"/>
    </xf>
    <xf numFmtId="0" fontId="11" fillId="0" borderId="3" xfId="0" applyFont="1" applyBorder="1" applyAlignment="1">
      <alignment horizontal="left" vertical="top" wrapText="1"/>
    </xf>
    <xf numFmtId="0" fontId="11" fillId="0" borderId="7" xfId="0" applyFont="1" applyBorder="1" applyAlignment="1">
      <alignment horizontal="left" vertical="top" wrapText="1"/>
    </xf>
    <xf numFmtId="0" fontId="11" fillId="0" borderId="8" xfId="0" applyFont="1" applyBorder="1" applyAlignment="1">
      <alignment horizontal="left" vertical="top" wrapText="1"/>
    </xf>
    <xf numFmtId="0" fontId="11" fillId="0" borderId="0" xfId="0" applyFont="1" applyBorder="1" applyAlignment="1">
      <alignment horizontal="left" vertical="top" wrapText="1"/>
    </xf>
    <xf numFmtId="0" fontId="11" fillId="0" borderId="9" xfId="0" applyFont="1" applyBorder="1" applyAlignment="1">
      <alignment horizontal="left" vertical="top" wrapText="1"/>
    </xf>
    <xf numFmtId="0" fontId="11" fillId="0" borderId="10" xfId="0" applyFont="1" applyBorder="1" applyAlignment="1">
      <alignment horizontal="left" vertical="top" wrapText="1"/>
    </xf>
    <xf numFmtId="0" fontId="11" fillId="0" borderId="4" xfId="0" applyFont="1" applyBorder="1" applyAlignment="1">
      <alignment horizontal="left" vertical="top" wrapText="1"/>
    </xf>
    <xf numFmtId="0" fontId="11" fillId="0" borderId="11" xfId="0" applyFont="1" applyBorder="1" applyAlignment="1">
      <alignment horizontal="left" vertical="top" wrapText="1"/>
    </xf>
    <xf numFmtId="0" fontId="13" fillId="3" borderId="5" xfId="0" applyFont="1" applyFill="1" applyBorder="1" applyAlignment="1">
      <alignment horizontal="left" vertical="center"/>
    </xf>
    <xf numFmtId="0" fontId="13" fillId="3" borderId="5" xfId="0" applyFont="1" applyFill="1" applyBorder="1" applyAlignment="1">
      <alignment horizontal="left" vertical="center" wrapText="1"/>
    </xf>
    <xf numFmtId="0" fontId="13" fillId="3" borderId="5" xfId="0" applyFont="1" applyFill="1" applyBorder="1" applyAlignment="1">
      <alignment horizontal="center" vertical="center" wrapText="1"/>
    </xf>
    <xf numFmtId="0" fontId="12" fillId="4" borderId="28" xfId="0" applyFont="1" applyFill="1" applyBorder="1" applyAlignment="1">
      <alignment horizontal="center"/>
    </xf>
    <xf numFmtId="0" fontId="12" fillId="4" borderId="37" xfId="0" applyFont="1" applyFill="1" applyBorder="1" applyAlignment="1">
      <alignment horizontal="center"/>
    </xf>
    <xf numFmtId="0" fontId="13" fillId="2" borderId="5" xfId="0" applyFont="1" applyFill="1" applyBorder="1" applyAlignment="1">
      <alignment horizontal="center" vertical="center"/>
    </xf>
    <xf numFmtId="0" fontId="11" fillId="0" borderId="0" xfId="0" applyFont="1" applyFill="1" applyBorder="1" applyAlignment="1">
      <alignment horizontal="left"/>
    </xf>
    <xf numFmtId="0" fontId="12" fillId="4" borderId="26" xfId="0" applyFont="1" applyFill="1" applyBorder="1" applyAlignment="1">
      <alignment horizontal="center"/>
    </xf>
    <xf numFmtId="0" fontId="12" fillId="4" borderId="36" xfId="0" applyFont="1" applyFill="1" applyBorder="1" applyAlignment="1">
      <alignment horizontal="center"/>
    </xf>
    <xf numFmtId="0" fontId="12" fillId="4" borderId="27" xfId="0" applyFont="1" applyFill="1" applyBorder="1" applyAlignment="1">
      <alignment horizontal="center"/>
    </xf>
    <xf numFmtId="0" fontId="12" fillId="4" borderId="2" xfId="0" applyFont="1" applyFill="1" applyBorder="1" applyAlignment="1">
      <alignment horizontal="center"/>
    </xf>
    <xf numFmtId="0" fontId="13" fillId="2" borderId="12" xfId="0" applyFont="1" applyFill="1" applyBorder="1" applyAlignment="1">
      <alignment horizontal="center" vertical="center"/>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23" xfId="0" applyFont="1" applyFill="1" applyBorder="1" applyAlignment="1">
      <alignment horizontal="center" vertical="center"/>
    </xf>
    <xf numFmtId="0" fontId="13" fillId="3" borderId="43" xfId="0" applyFont="1" applyFill="1" applyBorder="1" applyAlignment="1">
      <alignment horizontal="right" vertical="center"/>
    </xf>
    <xf numFmtId="0" fontId="13" fillId="3" borderId="44" xfId="0" applyFont="1" applyFill="1" applyBorder="1" applyAlignment="1">
      <alignment horizontal="right" vertical="center"/>
    </xf>
    <xf numFmtId="0" fontId="13" fillId="3" borderId="50" xfId="0" applyFont="1" applyFill="1" applyBorder="1" applyAlignment="1">
      <alignment horizontal="right" vertical="center"/>
    </xf>
    <xf numFmtId="0" fontId="11" fillId="0" borderId="0" xfId="0" applyFont="1" applyBorder="1" applyAlignment="1">
      <alignment horizontal="left" vertical="center" wrapText="1"/>
    </xf>
    <xf numFmtId="0" fontId="13" fillId="2" borderId="0" xfId="0" applyFont="1" applyFill="1" applyAlignment="1">
      <alignment horizontal="center" vertical="center"/>
    </xf>
    <xf numFmtId="0" fontId="13" fillId="2" borderId="0" xfId="0" applyFont="1" applyFill="1" applyBorder="1" applyAlignment="1">
      <alignment horizontal="center" vertical="center"/>
    </xf>
    <xf numFmtId="9" fontId="11" fillId="5" borderId="27" xfId="3" applyFont="1" applyFill="1" applyBorder="1" applyAlignment="1">
      <alignment horizontal="center"/>
    </xf>
    <xf numFmtId="9" fontId="11" fillId="5" borderId="2" xfId="3" applyFont="1" applyFill="1" applyBorder="1" applyAlignment="1">
      <alignment horizontal="center"/>
    </xf>
    <xf numFmtId="9" fontId="11" fillId="5" borderId="35" xfId="3" applyFont="1" applyFill="1" applyBorder="1" applyAlignment="1">
      <alignment horizontal="center"/>
    </xf>
    <xf numFmtId="0" fontId="12" fillId="4" borderId="15" xfId="0" applyFont="1" applyFill="1" applyBorder="1" applyAlignment="1">
      <alignment horizontal="center"/>
    </xf>
    <xf numFmtId="0" fontId="12" fillId="4" borderId="5" xfId="0" applyFont="1" applyFill="1" applyBorder="1" applyAlignment="1">
      <alignment horizontal="center"/>
    </xf>
    <xf numFmtId="0" fontId="14" fillId="0" borderId="30" xfId="0" applyFont="1" applyBorder="1" applyAlignment="1">
      <alignment horizontal="left"/>
    </xf>
    <xf numFmtId="0" fontId="14" fillId="0" borderId="25" xfId="0" applyFont="1" applyBorder="1" applyAlignment="1">
      <alignment horizontal="left"/>
    </xf>
    <xf numFmtId="0" fontId="14" fillId="0" borderId="31" xfId="0" applyFont="1" applyBorder="1" applyAlignment="1">
      <alignment horizontal="left"/>
    </xf>
    <xf numFmtId="0" fontId="14" fillId="0" borderId="24" xfId="0" applyFont="1" applyBorder="1" applyAlignment="1">
      <alignment horizontal="left"/>
    </xf>
    <xf numFmtId="0" fontId="14" fillId="0" borderId="13" xfId="0" applyFont="1" applyBorder="1" applyAlignment="1">
      <alignment horizontal="left"/>
    </xf>
    <xf numFmtId="0" fontId="14" fillId="0" borderId="18" xfId="0" applyFont="1" applyBorder="1" applyAlignment="1">
      <alignment horizontal="left"/>
    </xf>
    <xf numFmtId="0" fontId="12" fillId="4" borderId="17" xfId="0" applyFont="1" applyFill="1" applyBorder="1" applyAlignment="1">
      <alignment horizontal="center"/>
    </xf>
    <xf numFmtId="0" fontId="12" fillId="4" borderId="18" xfId="0" applyFont="1" applyFill="1" applyBorder="1" applyAlignment="1">
      <alignment horizontal="center"/>
    </xf>
    <xf numFmtId="0" fontId="13" fillId="3" borderId="55" xfId="0" applyFont="1" applyFill="1" applyBorder="1" applyAlignment="1">
      <alignment horizontal="left" vertical="center" wrapText="1"/>
    </xf>
    <xf numFmtId="0" fontId="13" fillId="3" borderId="56" xfId="0" applyFont="1" applyFill="1" applyBorder="1" applyAlignment="1">
      <alignment horizontal="left" vertical="center" wrapText="1"/>
    </xf>
    <xf numFmtId="0" fontId="13" fillId="3" borderId="57" xfId="0" applyFont="1" applyFill="1" applyBorder="1" applyAlignment="1">
      <alignment horizontal="left" vertical="center" wrapText="1"/>
    </xf>
    <xf numFmtId="0" fontId="14" fillId="0" borderId="29" xfId="0" applyFont="1" applyBorder="1" applyAlignment="1">
      <alignment horizontal="left"/>
    </xf>
    <xf numFmtId="0" fontId="14" fillId="0" borderId="23" xfId="0" applyFont="1" applyBorder="1" applyAlignment="1">
      <alignment horizontal="left"/>
    </xf>
    <xf numFmtId="0" fontId="13" fillId="3" borderId="59" xfId="0" applyFont="1" applyFill="1" applyBorder="1" applyAlignment="1">
      <alignment horizontal="left" vertical="center"/>
    </xf>
    <xf numFmtId="0" fontId="13" fillId="3" borderId="58" xfId="0" applyFont="1" applyFill="1" applyBorder="1" applyAlignment="1">
      <alignment horizontal="left" vertical="center"/>
    </xf>
    <xf numFmtId="0" fontId="13" fillId="3" borderId="60" xfId="0" applyFont="1" applyFill="1" applyBorder="1" applyAlignment="1">
      <alignment horizontal="left" vertical="center"/>
    </xf>
    <xf numFmtId="0" fontId="12" fillId="4" borderId="12" xfId="0" applyFont="1" applyFill="1" applyBorder="1" applyAlignment="1">
      <alignment horizontal="center"/>
    </xf>
    <xf numFmtId="0" fontId="12" fillId="4" borderId="13" xfId="0" applyFont="1" applyFill="1" applyBorder="1" applyAlignment="1">
      <alignment horizontal="center"/>
    </xf>
    <xf numFmtId="0" fontId="13" fillId="3" borderId="12" xfId="0" applyFont="1" applyFill="1" applyBorder="1" applyAlignment="1">
      <alignment horizontal="left" vertical="center"/>
    </xf>
    <xf numFmtId="0" fontId="13" fillId="2" borderId="53"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13" fillId="2" borderId="9" xfId="0" applyFont="1" applyFill="1" applyBorder="1" applyAlignment="1">
      <alignment horizontal="center" vertical="center"/>
    </xf>
    <xf numFmtId="0" fontId="13" fillId="2" borderId="6"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7" xfId="0" applyFont="1" applyFill="1" applyBorder="1" applyAlignment="1">
      <alignment horizontal="center" vertical="center"/>
    </xf>
    <xf numFmtId="0" fontId="13" fillId="2" borderId="6" xfId="0" applyFont="1" applyFill="1" applyBorder="1" applyAlignment="1">
      <alignment horizontal="center"/>
    </xf>
    <xf numFmtId="0" fontId="13" fillId="2" borderId="3" xfId="0" applyFont="1" applyFill="1" applyBorder="1" applyAlignment="1">
      <alignment horizontal="center"/>
    </xf>
    <xf numFmtId="0" fontId="13" fillId="2" borderId="7" xfId="0" applyFont="1" applyFill="1" applyBorder="1" applyAlignment="1">
      <alignment horizontal="center"/>
    </xf>
    <xf numFmtId="0" fontId="13" fillId="2" borderId="38" xfId="0" applyFont="1" applyFill="1" applyBorder="1" applyAlignment="1">
      <alignment horizontal="center" vertical="center"/>
    </xf>
    <xf numFmtId="0" fontId="13" fillId="2" borderId="52" xfId="0" applyFont="1" applyFill="1" applyBorder="1" applyAlignment="1">
      <alignment horizontal="center" vertical="center"/>
    </xf>
    <xf numFmtId="0" fontId="13" fillId="2" borderId="38" xfId="0" applyFont="1" applyFill="1" applyBorder="1" applyAlignment="1">
      <alignment horizontal="center"/>
    </xf>
    <xf numFmtId="0" fontId="13" fillId="2" borderId="39" xfId="0" applyFont="1" applyFill="1" applyBorder="1" applyAlignment="1">
      <alignment horizontal="center"/>
    </xf>
    <xf numFmtId="0" fontId="13" fillId="2" borderId="40" xfId="0" applyFont="1" applyFill="1" applyBorder="1" applyAlignment="1">
      <alignment horizontal="center"/>
    </xf>
    <xf numFmtId="0" fontId="13" fillId="3" borderId="47" xfId="0" applyFont="1" applyFill="1" applyBorder="1" applyAlignment="1">
      <alignment horizontal="right" vertical="center"/>
    </xf>
    <xf numFmtId="0" fontId="13" fillId="3" borderId="48" xfId="0" applyFont="1" applyFill="1" applyBorder="1" applyAlignment="1">
      <alignment horizontal="right" vertical="center"/>
    </xf>
    <xf numFmtId="0" fontId="13" fillId="3" borderId="51" xfId="0" applyFont="1" applyFill="1" applyBorder="1" applyAlignment="1">
      <alignment horizontal="right" vertical="center"/>
    </xf>
  </cellXfs>
  <cellStyles count="5">
    <cellStyle name="Comma" xfId="1" builtinId="3"/>
    <cellStyle name="Currency" xfId="2" builtinId="4"/>
    <cellStyle name="Normal" xfId="0" builtinId="0"/>
    <cellStyle name="Normal 2" xfId="4"/>
    <cellStyle name="Percent" xfId="3" builtinId="5"/>
  </cellStyles>
  <dxfs count="4">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3" Type="http://schemas.microsoft.com/office/2011/relationships/chartStyle" Target="style1.xml"/><Relationship Id="rId2" Type="http://schemas.microsoft.com/office/2011/relationships/chartColorStyle" Target="colors1.xml"/><Relationship Id="rId1" Type="http://schemas.openxmlformats.org/officeDocument/2006/relationships/chartUserShapes" Target="../drawings/drawing5.xml"/></Relationships>
</file>

<file path=xl/charts/_rels/chart2.xml.rels><?xml version="1.0" encoding="UTF-8" standalone="yes"?>
<Relationships xmlns="http://schemas.openxmlformats.org/package/2006/relationships"><Relationship Id="rId3" Type="http://schemas.microsoft.com/office/2011/relationships/chartStyle" Target="style2.xml"/><Relationship Id="rId2" Type="http://schemas.microsoft.com/office/2011/relationships/chartColorStyle" Target="colors2.xml"/><Relationship Id="rId1" Type="http://schemas.openxmlformats.org/officeDocument/2006/relationships/chartUserShapes" Target="../drawings/drawing6.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NZ"/>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'Feasibility chart workings'!$B$4</c:f>
          <c:strCache>
            <c:ptCount val="1"/>
            <c:pt idx="0">
              <c:v>Panel 1: A feasible development</c:v>
            </c:pt>
          </c:strCache>
        </c:strRef>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Arial" charset="0"/>
              <a:ea typeface="Arial" charset="0"/>
              <a:cs typeface="Arial" charset="0"/>
            </a:defRPr>
          </a:pPr>
          <a:endParaRPr lang="en-US"/>
        </a:p>
      </c:txPr>
    </c:title>
    <c:autoTitleDeleted val="0"/>
    <c:plotArea>
      <c:layout/>
      <c:barChart>
        <c:barDir val="col"/>
        <c:grouping val="stacked"/>
        <c:varyColors val="0"/>
        <c:ser>
          <c:idx val="0"/>
          <c:order val="0"/>
          <c:tx>
            <c:strRef>
              <c:f>'Feasibility chart workings'!$B$6</c:f>
              <c:strCache>
                <c:ptCount val="1"/>
                <c:pt idx="0">
                  <c:v>Land costs</c:v>
                </c:pt>
              </c:strCache>
            </c:strRef>
          </c:tx>
          <c:spPr>
            <a:solidFill>
              <a:schemeClr val="accent1"/>
            </a:solidFill>
            <a:ln>
              <a:noFill/>
            </a:ln>
            <a:effectLst/>
          </c:spPr>
          <c:invertIfNegative val="0"/>
          <c:cat>
            <c:strRef>
              <c:f>'Feasibility chart workings'!$C$5:$E$5</c:f>
              <c:strCache>
                <c:ptCount val="3"/>
                <c:pt idx="0">
                  <c:v>Revenues</c:v>
                </c:pt>
                <c:pt idx="1">
                  <c:v>Costs</c:v>
                </c:pt>
                <c:pt idx="2">
                  <c:v>Residual value</c:v>
                </c:pt>
              </c:strCache>
            </c:strRef>
          </c:cat>
          <c:val>
            <c:numRef>
              <c:f>'Feasibility chart workings'!$C$6:$E$6</c:f>
              <c:numCache>
                <c:formatCode>General</c:formatCode>
                <c:ptCount val="3"/>
                <c:pt idx="1">
                  <c:v>150000</c:v>
                </c:pt>
              </c:numCache>
            </c:numRef>
          </c:val>
        </c:ser>
        <c:ser>
          <c:idx val="1"/>
          <c:order val="1"/>
          <c:tx>
            <c:strRef>
              <c:f>'Feasibility chart workings'!$B$7</c:f>
              <c:strCache>
                <c:ptCount val="1"/>
                <c:pt idx="0">
                  <c:v>Construction costs</c:v>
                </c:pt>
              </c:strCache>
            </c:strRef>
          </c:tx>
          <c:spPr>
            <a:solidFill>
              <a:schemeClr val="accent2"/>
            </a:solidFill>
            <a:ln>
              <a:noFill/>
            </a:ln>
            <a:effectLst/>
          </c:spPr>
          <c:invertIfNegative val="0"/>
          <c:cat>
            <c:strRef>
              <c:f>'Feasibility chart workings'!$C$5:$E$5</c:f>
              <c:strCache>
                <c:ptCount val="3"/>
                <c:pt idx="0">
                  <c:v>Revenues</c:v>
                </c:pt>
                <c:pt idx="1">
                  <c:v>Costs</c:v>
                </c:pt>
                <c:pt idx="2">
                  <c:v>Residual value</c:v>
                </c:pt>
              </c:strCache>
            </c:strRef>
          </c:cat>
          <c:val>
            <c:numRef>
              <c:f>'Feasibility chart workings'!$C$7:$E$7</c:f>
              <c:numCache>
                <c:formatCode>General</c:formatCode>
                <c:ptCount val="3"/>
                <c:pt idx="1">
                  <c:v>200000</c:v>
                </c:pt>
              </c:numCache>
            </c:numRef>
          </c:val>
        </c:ser>
        <c:ser>
          <c:idx val="2"/>
          <c:order val="2"/>
          <c:tx>
            <c:strRef>
              <c:f>'Feasibility chart workings'!$B$8</c:f>
              <c:strCache>
                <c:ptCount val="1"/>
                <c:pt idx="0">
                  <c:v>Other costs (incl finance)</c:v>
                </c:pt>
              </c:strCache>
            </c:strRef>
          </c:tx>
          <c:spPr>
            <a:solidFill>
              <a:schemeClr val="accent3"/>
            </a:solidFill>
            <a:ln>
              <a:noFill/>
            </a:ln>
            <a:effectLst/>
          </c:spPr>
          <c:invertIfNegative val="0"/>
          <c:cat>
            <c:strRef>
              <c:f>'Feasibility chart workings'!$C$5:$E$5</c:f>
              <c:strCache>
                <c:ptCount val="3"/>
                <c:pt idx="0">
                  <c:v>Revenues</c:v>
                </c:pt>
                <c:pt idx="1">
                  <c:v>Costs</c:v>
                </c:pt>
                <c:pt idx="2">
                  <c:v>Residual value</c:v>
                </c:pt>
              </c:strCache>
            </c:strRef>
          </c:cat>
          <c:val>
            <c:numRef>
              <c:f>'Feasibility chart workings'!$C$8:$E$8</c:f>
              <c:numCache>
                <c:formatCode>General</c:formatCode>
                <c:ptCount val="3"/>
                <c:pt idx="1">
                  <c:v>100000</c:v>
                </c:pt>
              </c:numCache>
            </c:numRef>
          </c:val>
        </c:ser>
        <c:ser>
          <c:idx val="4"/>
          <c:order val="3"/>
          <c:tx>
            <c:strRef>
              <c:f>'Feasibility chart workings'!$B$9</c:f>
              <c:strCache>
                <c:ptCount val="1"/>
                <c:pt idx="0">
                  <c:v>Developer profit</c:v>
                </c:pt>
              </c:strCache>
            </c:strRef>
          </c:tx>
          <c:spPr>
            <a:solidFill>
              <a:schemeClr val="accent5"/>
            </a:solidFill>
            <a:ln>
              <a:noFill/>
            </a:ln>
            <a:effectLst/>
          </c:spPr>
          <c:invertIfNegative val="0"/>
          <c:cat>
            <c:strRef>
              <c:f>'Feasibility chart workings'!$C$5:$E$5</c:f>
              <c:strCache>
                <c:ptCount val="3"/>
                <c:pt idx="0">
                  <c:v>Revenues</c:v>
                </c:pt>
                <c:pt idx="1">
                  <c:v>Costs</c:v>
                </c:pt>
                <c:pt idx="2">
                  <c:v>Residual value</c:v>
                </c:pt>
              </c:strCache>
            </c:strRef>
          </c:cat>
          <c:val>
            <c:numRef>
              <c:f>'Feasibility chart workings'!$C$9:$E$9</c:f>
              <c:numCache>
                <c:formatCode>General</c:formatCode>
                <c:ptCount val="3"/>
                <c:pt idx="1">
                  <c:v>90000</c:v>
                </c:pt>
              </c:numCache>
            </c:numRef>
          </c:val>
        </c:ser>
        <c:ser>
          <c:idx val="5"/>
          <c:order val="4"/>
          <c:tx>
            <c:strRef>
              <c:f>'Feasibility chart workings'!$B$10</c:f>
              <c:strCache>
                <c:ptCount val="1"/>
                <c:pt idx="0">
                  <c:v>Revenues</c:v>
                </c:pt>
              </c:strCache>
            </c:strRef>
          </c:tx>
          <c:spPr>
            <a:solidFill>
              <a:schemeClr val="accent6"/>
            </a:solidFill>
            <a:ln>
              <a:noFill/>
            </a:ln>
            <a:effectLst/>
          </c:spPr>
          <c:invertIfNegative val="0"/>
          <c:dPt>
            <c:idx val="2"/>
            <c:invertIfNegative val="0"/>
            <c:bubble3D val="0"/>
            <c:spPr>
              <a:noFill/>
              <a:ln>
                <a:noFill/>
              </a:ln>
              <a:effectLst/>
            </c:spPr>
          </c:dPt>
          <c:cat>
            <c:strRef>
              <c:f>'Feasibility chart workings'!$C$5:$E$5</c:f>
              <c:strCache>
                <c:ptCount val="3"/>
                <c:pt idx="0">
                  <c:v>Revenues</c:v>
                </c:pt>
                <c:pt idx="1">
                  <c:v>Costs</c:v>
                </c:pt>
                <c:pt idx="2">
                  <c:v>Residual value</c:v>
                </c:pt>
              </c:strCache>
            </c:strRef>
          </c:cat>
          <c:val>
            <c:numRef>
              <c:f>'Feasibility chart workings'!$C$10:$E$10</c:f>
              <c:numCache>
                <c:formatCode>General</c:formatCode>
                <c:ptCount val="3"/>
                <c:pt idx="0">
                  <c:v>620000</c:v>
                </c:pt>
                <c:pt idx="2">
                  <c:v>540000</c:v>
                </c:pt>
              </c:numCache>
            </c:numRef>
          </c:val>
        </c:ser>
        <c:ser>
          <c:idx val="3"/>
          <c:order val="5"/>
          <c:tx>
            <c:strRef>
              <c:f>'Feasibility chart workings'!$B$11</c:f>
              <c:strCache>
                <c:ptCount val="1"/>
                <c:pt idx="0">
                  <c:v>Residual value</c:v>
                </c:pt>
              </c:strCache>
            </c:strRef>
          </c:tx>
          <c:spPr>
            <a:solidFill>
              <a:schemeClr val="accent4"/>
            </a:solidFill>
            <a:ln>
              <a:noFill/>
            </a:ln>
            <a:effectLst/>
          </c:spPr>
          <c:invertIfNegative val="0"/>
          <c:cat>
            <c:strRef>
              <c:f>'Feasibility chart workings'!$C$5:$E$5</c:f>
              <c:strCache>
                <c:ptCount val="3"/>
                <c:pt idx="0">
                  <c:v>Revenues</c:v>
                </c:pt>
                <c:pt idx="1">
                  <c:v>Costs</c:v>
                </c:pt>
                <c:pt idx="2">
                  <c:v>Residual value</c:v>
                </c:pt>
              </c:strCache>
            </c:strRef>
          </c:cat>
          <c:val>
            <c:numRef>
              <c:f>'Feasibility chart workings'!$C$11:$E$11</c:f>
              <c:numCache>
                <c:formatCode>General</c:formatCode>
                <c:ptCount val="3"/>
                <c:pt idx="2">
                  <c:v>80000</c:v>
                </c:pt>
              </c:numCache>
            </c:numRef>
          </c:val>
        </c:ser>
        <c:dLbls>
          <c:showLegendKey val="0"/>
          <c:showVal val="0"/>
          <c:showCatName val="0"/>
          <c:showSerName val="0"/>
          <c:showPercent val="0"/>
          <c:showBubbleSize val="0"/>
        </c:dLbls>
        <c:gapWidth val="150"/>
        <c:overlap val="100"/>
        <c:axId val="126826368"/>
        <c:axId val="126827904"/>
      </c:barChart>
      <c:catAx>
        <c:axId val="1268263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Arial" charset="0"/>
                <a:ea typeface="Arial" charset="0"/>
                <a:cs typeface="Arial" charset="0"/>
              </a:defRPr>
            </a:pPr>
            <a:endParaRPr lang="en-US"/>
          </a:p>
        </c:txPr>
        <c:crossAx val="126827904"/>
        <c:crosses val="autoZero"/>
        <c:auto val="1"/>
        <c:lblAlgn val="ctr"/>
        <c:lblOffset val="100"/>
        <c:noMultiLvlLbl val="0"/>
      </c:catAx>
      <c:valAx>
        <c:axId val="126827904"/>
        <c:scaling>
          <c:orientation val="minMax"/>
        </c:scaling>
        <c:delete val="1"/>
        <c:axPos val="l"/>
        <c:numFmt formatCode="General" sourceLinked="1"/>
        <c:majorTickMark val="none"/>
        <c:minorTickMark val="none"/>
        <c:tickLblPos val="nextTo"/>
        <c:crossAx val="126826368"/>
        <c:crosses val="autoZero"/>
        <c:crossBetween val="between"/>
      </c:valAx>
      <c:spPr>
        <a:noFill/>
        <a:ln>
          <a:noFill/>
        </a:ln>
        <a:effectLst/>
      </c:spPr>
    </c:plotArea>
    <c:legend>
      <c:legendPos val="t"/>
      <c:legendEntry>
        <c:idx val="4"/>
        <c:delete val="1"/>
      </c:legendEntry>
      <c:legendEntry>
        <c:idx val="5"/>
        <c:delete val="1"/>
      </c:legendEntry>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Arial" charset="0"/>
              <a:ea typeface="Arial" charset="0"/>
              <a:cs typeface="Arial" charset="0"/>
            </a:defRPr>
          </a:pPr>
          <a:endParaRPr lang="en-US"/>
        </a:p>
      </c:txPr>
    </c:legend>
    <c:plotVisOnly val="1"/>
    <c:dispBlanksAs val="gap"/>
    <c:showDLblsOverMax val="0"/>
  </c:chart>
  <c:spPr>
    <a:solidFill>
      <a:schemeClr val="bg1"/>
    </a:solidFill>
    <a:ln w="9525" cap="flat" cmpd="sng" algn="ctr">
      <a:solidFill>
        <a:schemeClr val="tx1"/>
      </a:solidFill>
      <a:round/>
    </a:ln>
    <a:effectLst/>
  </c:spPr>
  <c:txPr>
    <a:bodyPr/>
    <a:lstStyle/>
    <a:p>
      <a:pPr>
        <a:defRPr sz="1200">
          <a:latin typeface="Arial" charset="0"/>
          <a:ea typeface="Arial" charset="0"/>
          <a:cs typeface="Arial" charset="0"/>
        </a:defRPr>
      </a:pPr>
      <a:endParaRPr lang="en-US"/>
    </a:p>
  </c:txPr>
  <c:printSettings>
    <c:headerFooter/>
    <c:pageMargins b="0.75" l="0.7" r="0.7" t="0.75" header="0.3" footer="0.3"/>
    <c:pageSetup paperSize="9" orientation="portrait" horizontalDpi="0" verticalDpi="0"/>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NZ"/>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'Feasibility chart workings'!$B$13</c:f>
          <c:strCache>
            <c:ptCount val="1"/>
            <c:pt idx="0">
              <c:v>Panel 2: An infeasible development</c:v>
            </c:pt>
          </c:strCache>
        </c:strRef>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Arial" charset="0"/>
              <a:ea typeface="Arial" charset="0"/>
              <a:cs typeface="Arial" charset="0"/>
            </a:defRPr>
          </a:pPr>
          <a:endParaRPr lang="en-US"/>
        </a:p>
      </c:txPr>
    </c:title>
    <c:autoTitleDeleted val="0"/>
    <c:plotArea>
      <c:layout/>
      <c:barChart>
        <c:barDir val="col"/>
        <c:grouping val="stacked"/>
        <c:varyColors val="0"/>
        <c:ser>
          <c:idx val="0"/>
          <c:order val="0"/>
          <c:tx>
            <c:strRef>
              <c:f>'Feasibility chart workings'!$B$15</c:f>
              <c:strCache>
                <c:ptCount val="1"/>
                <c:pt idx="0">
                  <c:v>Land costs</c:v>
                </c:pt>
              </c:strCache>
            </c:strRef>
          </c:tx>
          <c:spPr>
            <a:solidFill>
              <a:schemeClr val="accent1"/>
            </a:solidFill>
            <a:ln>
              <a:noFill/>
            </a:ln>
            <a:effectLst/>
          </c:spPr>
          <c:invertIfNegative val="0"/>
          <c:cat>
            <c:strRef>
              <c:f>'Feasibility chart workings'!$C$5:$E$5</c:f>
              <c:strCache>
                <c:ptCount val="3"/>
                <c:pt idx="0">
                  <c:v>Revenues</c:v>
                </c:pt>
                <c:pt idx="1">
                  <c:v>Costs</c:v>
                </c:pt>
                <c:pt idx="2">
                  <c:v>Residual value</c:v>
                </c:pt>
              </c:strCache>
            </c:strRef>
          </c:cat>
          <c:val>
            <c:numRef>
              <c:f>'Feasibility chart workings'!$C$15:$E$15</c:f>
              <c:numCache>
                <c:formatCode>General</c:formatCode>
                <c:ptCount val="3"/>
                <c:pt idx="1">
                  <c:v>150000</c:v>
                </c:pt>
              </c:numCache>
            </c:numRef>
          </c:val>
        </c:ser>
        <c:ser>
          <c:idx val="1"/>
          <c:order val="1"/>
          <c:tx>
            <c:strRef>
              <c:f>'Feasibility chart workings'!$B$16</c:f>
              <c:strCache>
                <c:ptCount val="1"/>
                <c:pt idx="0">
                  <c:v>Construction costs</c:v>
                </c:pt>
              </c:strCache>
            </c:strRef>
          </c:tx>
          <c:spPr>
            <a:solidFill>
              <a:schemeClr val="accent2"/>
            </a:solidFill>
            <a:ln>
              <a:noFill/>
            </a:ln>
            <a:effectLst/>
          </c:spPr>
          <c:invertIfNegative val="0"/>
          <c:cat>
            <c:strRef>
              <c:f>'Feasibility chart workings'!$C$5:$E$5</c:f>
              <c:strCache>
                <c:ptCount val="3"/>
                <c:pt idx="0">
                  <c:v>Revenues</c:v>
                </c:pt>
                <c:pt idx="1">
                  <c:v>Costs</c:v>
                </c:pt>
                <c:pt idx="2">
                  <c:v>Residual value</c:v>
                </c:pt>
              </c:strCache>
            </c:strRef>
          </c:cat>
          <c:val>
            <c:numRef>
              <c:f>'Feasibility chart workings'!$C$16:$E$16</c:f>
              <c:numCache>
                <c:formatCode>General</c:formatCode>
                <c:ptCount val="3"/>
                <c:pt idx="1">
                  <c:v>200000</c:v>
                </c:pt>
              </c:numCache>
            </c:numRef>
          </c:val>
        </c:ser>
        <c:ser>
          <c:idx val="2"/>
          <c:order val="2"/>
          <c:tx>
            <c:strRef>
              <c:f>'Feasibility chart workings'!$B$17</c:f>
              <c:strCache>
                <c:ptCount val="1"/>
                <c:pt idx="0">
                  <c:v>Other costs (incl finance)</c:v>
                </c:pt>
              </c:strCache>
            </c:strRef>
          </c:tx>
          <c:spPr>
            <a:solidFill>
              <a:schemeClr val="accent3"/>
            </a:solidFill>
            <a:ln>
              <a:noFill/>
            </a:ln>
            <a:effectLst/>
          </c:spPr>
          <c:invertIfNegative val="0"/>
          <c:cat>
            <c:strRef>
              <c:f>'Feasibility chart workings'!$C$5:$E$5</c:f>
              <c:strCache>
                <c:ptCount val="3"/>
                <c:pt idx="0">
                  <c:v>Revenues</c:v>
                </c:pt>
                <c:pt idx="1">
                  <c:v>Costs</c:v>
                </c:pt>
                <c:pt idx="2">
                  <c:v>Residual value</c:v>
                </c:pt>
              </c:strCache>
            </c:strRef>
          </c:cat>
          <c:val>
            <c:numRef>
              <c:f>'Feasibility chart workings'!$C$17:$E$17</c:f>
              <c:numCache>
                <c:formatCode>General</c:formatCode>
                <c:ptCount val="3"/>
                <c:pt idx="1">
                  <c:v>100000</c:v>
                </c:pt>
              </c:numCache>
            </c:numRef>
          </c:val>
        </c:ser>
        <c:ser>
          <c:idx val="4"/>
          <c:order val="3"/>
          <c:tx>
            <c:strRef>
              <c:f>'Feasibility chart workings'!$B$18</c:f>
              <c:strCache>
                <c:ptCount val="1"/>
                <c:pt idx="0">
                  <c:v>Developer profit</c:v>
                </c:pt>
              </c:strCache>
            </c:strRef>
          </c:tx>
          <c:spPr>
            <a:solidFill>
              <a:schemeClr val="accent5"/>
            </a:solidFill>
            <a:ln>
              <a:noFill/>
            </a:ln>
            <a:effectLst/>
          </c:spPr>
          <c:invertIfNegative val="0"/>
          <c:cat>
            <c:strRef>
              <c:f>'Feasibility chart workings'!$C$5:$E$5</c:f>
              <c:strCache>
                <c:ptCount val="3"/>
                <c:pt idx="0">
                  <c:v>Revenues</c:v>
                </c:pt>
                <c:pt idx="1">
                  <c:v>Costs</c:v>
                </c:pt>
                <c:pt idx="2">
                  <c:v>Residual value</c:v>
                </c:pt>
              </c:strCache>
            </c:strRef>
          </c:cat>
          <c:val>
            <c:numRef>
              <c:f>'Feasibility chart workings'!$C$18:$E$18</c:f>
              <c:numCache>
                <c:formatCode>General</c:formatCode>
                <c:ptCount val="3"/>
                <c:pt idx="1">
                  <c:v>90000</c:v>
                </c:pt>
              </c:numCache>
            </c:numRef>
          </c:val>
        </c:ser>
        <c:ser>
          <c:idx val="5"/>
          <c:order val="4"/>
          <c:tx>
            <c:strRef>
              <c:f>'Feasibility chart workings'!$B$19</c:f>
              <c:strCache>
                <c:ptCount val="1"/>
                <c:pt idx="0">
                  <c:v>Revenues</c:v>
                </c:pt>
              </c:strCache>
            </c:strRef>
          </c:tx>
          <c:spPr>
            <a:solidFill>
              <a:schemeClr val="accent6"/>
            </a:solidFill>
            <a:ln>
              <a:noFill/>
            </a:ln>
            <a:effectLst/>
          </c:spPr>
          <c:invertIfNegative val="0"/>
          <c:dPt>
            <c:idx val="2"/>
            <c:invertIfNegative val="0"/>
            <c:bubble3D val="0"/>
            <c:spPr>
              <a:noFill/>
              <a:ln>
                <a:noFill/>
              </a:ln>
              <a:effectLst/>
            </c:spPr>
          </c:dPt>
          <c:cat>
            <c:strRef>
              <c:f>'Feasibility chart workings'!$C$5:$E$5</c:f>
              <c:strCache>
                <c:ptCount val="3"/>
                <c:pt idx="0">
                  <c:v>Revenues</c:v>
                </c:pt>
                <c:pt idx="1">
                  <c:v>Costs</c:v>
                </c:pt>
                <c:pt idx="2">
                  <c:v>Residual value</c:v>
                </c:pt>
              </c:strCache>
            </c:strRef>
          </c:cat>
          <c:val>
            <c:numRef>
              <c:f>'Feasibility chart workings'!$C$19:$E$19</c:f>
              <c:numCache>
                <c:formatCode>General</c:formatCode>
                <c:ptCount val="3"/>
                <c:pt idx="0">
                  <c:v>500000</c:v>
                </c:pt>
                <c:pt idx="2">
                  <c:v>500000</c:v>
                </c:pt>
              </c:numCache>
            </c:numRef>
          </c:val>
        </c:ser>
        <c:ser>
          <c:idx val="3"/>
          <c:order val="5"/>
          <c:tx>
            <c:strRef>
              <c:f>'Feasibility chart workings'!$B$20</c:f>
              <c:strCache>
                <c:ptCount val="1"/>
                <c:pt idx="0">
                  <c:v>Residual value</c:v>
                </c:pt>
              </c:strCache>
            </c:strRef>
          </c:tx>
          <c:spPr>
            <a:pattFill prst="wdUpDiag">
              <a:fgClr>
                <a:schemeClr val="lt1"/>
              </a:fgClr>
              <a:bgClr>
                <a:schemeClr val="accent4"/>
              </a:bgClr>
            </a:pattFill>
            <a:ln>
              <a:noFill/>
            </a:ln>
            <a:effectLst/>
          </c:spPr>
          <c:invertIfNegative val="0"/>
          <c:cat>
            <c:strRef>
              <c:f>'Feasibility chart workings'!$C$5:$E$5</c:f>
              <c:strCache>
                <c:ptCount val="3"/>
                <c:pt idx="0">
                  <c:v>Revenues</c:v>
                </c:pt>
                <c:pt idx="1">
                  <c:v>Costs</c:v>
                </c:pt>
                <c:pt idx="2">
                  <c:v>Residual value</c:v>
                </c:pt>
              </c:strCache>
            </c:strRef>
          </c:cat>
          <c:val>
            <c:numRef>
              <c:f>'Feasibility chart workings'!$C$20:$E$20</c:f>
              <c:numCache>
                <c:formatCode>General</c:formatCode>
                <c:ptCount val="3"/>
                <c:pt idx="2">
                  <c:v>40000</c:v>
                </c:pt>
              </c:numCache>
            </c:numRef>
          </c:val>
        </c:ser>
        <c:dLbls>
          <c:showLegendKey val="0"/>
          <c:showVal val="0"/>
          <c:showCatName val="0"/>
          <c:showSerName val="0"/>
          <c:showPercent val="0"/>
          <c:showBubbleSize val="0"/>
        </c:dLbls>
        <c:gapWidth val="150"/>
        <c:overlap val="100"/>
        <c:axId val="131143936"/>
        <c:axId val="131153920"/>
      </c:barChart>
      <c:catAx>
        <c:axId val="1311439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Arial" charset="0"/>
                <a:ea typeface="Arial" charset="0"/>
                <a:cs typeface="Arial" charset="0"/>
              </a:defRPr>
            </a:pPr>
            <a:endParaRPr lang="en-US"/>
          </a:p>
        </c:txPr>
        <c:crossAx val="131153920"/>
        <c:crosses val="autoZero"/>
        <c:auto val="1"/>
        <c:lblAlgn val="ctr"/>
        <c:lblOffset val="100"/>
        <c:noMultiLvlLbl val="0"/>
      </c:catAx>
      <c:valAx>
        <c:axId val="131153920"/>
        <c:scaling>
          <c:orientation val="minMax"/>
        </c:scaling>
        <c:delete val="1"/>
        <c:axPos val="l"/>
        <c:numFmt formatCode="General" sourceLinked="1"/>
        <c:majorTickMark val="none"/>
        <c:minorTickMark val="none"/>
        <c:tickLblPos val="nextTo"/>
        <c:crossAx val="131143936"/>
        <c:crosses val="autoZero"/>
        <c:crossBetween val="between"/>
      </c:valAx>
      <c:spPr>
        <a:noFill/>
        <a:ln>
          <a:noFill/>
        </a:ln>
        <a:effectLst/>
      </c:spPr>
    </c:plotArea>
    <c:legend>
      <c:legendPos val="t"/>
      <c:legendEntry>
        <c:idx val="4"/>
        <c:delete val="1"/>
      </c:legendEntry>
      <c:legendEntry>
        <c:idx val="5"/>
        <c:delete val="1"/>
      </c:legendEntry>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Arial" charset="0"/>
              <a:ea typeface="Arial" charset="0"/>
              <a:cs typeface="Arial" charset="0"/>
            </a:defRPr>
          </a:pPr>
          <a:endParaRPr lang="en-US"/>
        </a:p>
      </c:txPr>
    </c:legend>
    <c:plotVisOnly val="1"/>
    <c:dispBlanksAs val="gap"/>
    <c:showDLblsOverMax val="0"/>
  </c:chart>
  <c:spPr>
    <a:solidFill>
      <a:schemeClr val="bg1"/>
    </a:solidFill>
    <a:ln w="9525" cap="flat" cmpd="sng" algn="ctr">
      <a:solidFill>
        <a:schemeClr val="tx1"/>
      </a:solidFill>
      <a:round/>
    </a:ln>
    <a:effectLst/>
  </c:spPr>
  <c:txPr>
    <a:bodyPr/>
    <a:lstStyle/>
    <a:p>
      <a:pPr>
        <a:defRPr sz="1200">
          <a:latin typeface="Arial" charset="0"/>
          <a:ea typeface="Arial" charset="0"/>
          <a:cs typeface="Arial" charset="0"/>
        </a:defRPr>
      </a:pPr>
      <a:endParaRPr lang="en-US"/>
    </a:p>
  </c:txPr>
  <c:printSettings>
    <c:headerFooter/>
    <c:pageMargins b="0.75" l="0.7" r="0.7" t="0.75" header="0.3" footer="0.3"/>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N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0" baseline="0">
                <a:solidFill>
                  <a:schemeClr val="tx1">
                    <a:lumMod val="65000"/>
                    <a:lumOff val="35000"/>
                  </a:schemeClr>
                </a:solidFill>
                <a:latin typeface="Arial" charset="0"/>
                <a:ea typeface="Arial" charset="0"/>
                <a:cs typeface="Arial" charset="0"/>
              </a:defRPr>
            </a:pPr>
            <a:r>
              <a:rPr lang="en-US" sz="1600" b="1"/>
              <a:t>Modelled section price gradient</a:t>
            </a:r>
          </a:p>
        </c:rich>
      </c:tx>
      <c:overlay val="0"/>
      <c:spPr>
        <a:noFill/>
        <a:ln>
          <a:noFill/>
        </a:ln>
        <a:effectLst/>
      </c:spPr>
    </c:title>
    <c:autoTitleDeleted val="0"/>
    <c:plotArea>
      <c:layout/>
      <c:scatterChart>
        <c:scatterStyle val="lineMarker"/>
        <c:varyColors val="0"/>
        <c:ser>
          <c:idx val="0"/>
          <c:order val="0"/>
          <c:tx>
            <c:strRef>
              <c:f>'3 Section price gradient'!$B$7</c:f>
              <c:strCache>
                <c:ptCount val="1"/>
                <c:pt idx="0">
                  <c:v>Estimated section price ($)</c:v>
                </c:pt>
              </c:strCache>
            </c:strRef>
          </c:tx>
          <c:spPr>
            <a:ln w="47625" cap="rnd">
              <a:solidFill>
                <a:schemeClr val="accent1"/>
              </a:solidFill>
              <a:round/>
            </a:ln>
            <a:effectLst/>
          </c:spPr>
          <c:marker>
            <c:symbol val="none"/>
          </c:marker>
          <c:xVal>
            <c:numRef>
              <c:f>'3 Section price gradient'!$A$8:$A$35</c:f>
              <c:numCache>
                <c:formatCode>General</c:formatCode>
                <c:ptCount val="28"/>
                <c:pt idx="0">
                  <c:v>150</c:v>
                </c:pt>
                <c:pt idx="1">
                  <c:v>200</c:v>
                </c:pt>
                <c:pt idx="2">
                  <c:v>250</c:v>
                </c:pt>
                <c:pt idx="3">
                  <c:v>300</c:v>
                </c:pt>
                <c:pt idx="4">
                  <c:v>350</c:v>
                </c:pt>
                <c:pt idx="5">
                  <c:v>400</c:v>
                </c:pt>
                <c:pt idx="6">
                  <c:v>450</c:v>
                </c:pt>
                <c:pt idx="7">
                  <c:v>500</c:v>
                </c:pt>
                <c:pt idx="8">
                  <c:v>550</c:v>
                </c:pt>
                <c:pt idx="9">
                  <c:v>600</c:v>
                </c:pt>
                <c:pt idx="10">
                  <c:v>650</c:v>
                </c:pt>
                <c:pt idx="11">
                  <c:v>700</c:v>
                </c:pt>
                <c:pt idx="12">
                  <c:v>750</c:v>
                </c:pt>
                <c:pt idx="13">
                  <c:v>800</c:v>
                </c:pt>
                <c:pt idx="14">
                  <c:v>850</c:v>
                </c:pt>
                <c:pt idx="15">
                  <c:v>900</c:v>
                </c:pt>
                <c:pt idx="16">
                  <c:v>950</c:v>
                </c:pt>
                <c:pt idx="17">
                  <c:v>1000</c:v>
                </c:pt>
                <c:pt idx="18">
                  <c:v>1050</c:v>
                </c:pt>
                <c:pt idx="19">
                  <c:v>1100</c:v>
                </c:pt>
                <c:pt idx="20">
                  <c:v>1150</c:v>
                </c:pt>
                <c:pt idx="21">
                  <c:v>1200</c:v>
                </c:pt>
                <c:pt idx="22">
                  <c:v>1250</c:v>
                </c:pt>
                <c:pt idx="23">
                  <c:v>1300</c:v>
                </c:pt>
                <c:pt idx="24">
                  <c:v>1350</c:v>
                </c:pt>
                <c:pt idx="25">
                  <c:v>1400</c:v>
                </c:pt>
                <c:pt idx="26">
                  <c:v>1450</c:v>
                </c:pt>
                <c:pt idx="27">
                  <c:v>1500</c:v>
                </c:pt>
              </c:numCache>
            </c:numRef>
          </c:xVal>
          <c:yVal>
            <c:numRef>
              <c:f>'3 Section price gradient'!$B$8:$B$35</c:f>
              <c:numCache>
                <c:formatCode>"$"#,##0</c:formatCode>
                <c:ptCount val="28"/>
                <c:pt idx="0">
                  <c:v>141331.42310358881</c:v>
                </c:pt>
                <c:pt idx="1">
                  <c:v>169000.00000000026</c:v>
                </c:pt>
                <c:pt idx="2">
                  <c:v>194140.05632519809</c:v>
                </c:pt>
                <c:pt idx="3">
                  <c:v>217432.95862090585</c:v>
                </c:pt>
                <c:pt idx="4">
                  <c:v>239294.11990992239</c:v>
                </c:pt>
                <c:pt idx="5">
                  <c:v>260000.00000000038</c:v>
                </c:pt>
                <c:pt idx="6">
                  <c:v>279746.10351858276</c:v>
                </c:pt>
                <c:pt idx="7">
                  <c:v>298677.00973107392</c:v>
                </c:pt>
                <c:pt idx="8">
                  <c:v>316903.37713899731</c:v>
                </c:pt>
                <c:pt idx="9">
                  <c:v>334512.24403216282</c:v>
                </c:pt>
                <c:pt idx="10">
                  <c:v>351573.60621426709</c:v>
                </c:pt>
                <c:pt idx="11">
                  <c:v>368144.79986141878</c:v>
                </c:pt>
                <c:pt idx="12">
                  <c:v>384273.52602291357</c:v>
                </c:pt>
                <c:pt idx="13">
                  <c:v>400000.00000000052</c:v>
                </c:pt>
                <c:pt idx="14">
                  <c:v>415358.51751463069</c:v>
                </c:pt>
                <c:pt idx="15">
                  <c:v>430378.62079781952</c:v>
                </c:pt>
                <c:pt idx="16">
                  <c:v>445085.98326813162</c:v>
                </c:pt>
                <c:pt idx="17">
                  <c:v>459503.09189396008</c:v>
                </c:pt>
                <c:pt idx="18">
                  <c:v>473649.78127082519</c:v>
                </c:pt>
                <c:pt idx="19">
                  <c:v>487543.65713691863</c:v>
                </c:pt>
                <c:pt idx="20">
                  <c:v>501200.43618020503</c:v>
                </c:pt>
                <c:pt idx="21">
                  <c:v>514634.22158794245</c:v>
                </c:pt>
                <c:pt idx="22">
                  <c:v>527857.72865027154</c:v>
                </c:pt>
                <c:pt idx="23">
                  <c:v>540882.47109887237</c:v>
                </c:pt>
                <c:pt idx="24">
                  <c:v>553718.91625594464</c:v>
                </c:pt>
                <c:pt idx="25">
                  <c:v>566376.61517141352</c:v>
                </c:pt>
                <c:pt idx="26">
                  <c:v>578864.312526369</c:v>
                </c:pt>
                <c:pt idx="27">
                  <c:v>591190.04003525153</c:v>
                </c:pt>
              </c:numCache>
            </c:numRef>
          </c:yVal>
          <c:smooth val="1"/>
        </c:ser>
        <c:dLbls>
          <c:showLegendKey val="0"/>
          <c:showVal val="0"/>
          <c:showCatName val="0"/>
          <c:showSerName val="0"/>
          <c:showPercent val="0"/>
          <c:showBubbleSize val="0"/>
        </c:dLbls>
        <c:axId val="131685376"/>
        <c:axId val="131699840"/>
      </c:scatterChart>
      <c:valAx>
        <c:axId val="131685376"/>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200" b="0" i="0" u="none" strike="noStrike" kern="1200" baseline="0">
                    <a:solidFill>
                      <a:schemeClr val="tx1">
                        <a:lumMod val="65000"/>
                        <a:lumOff val="35000"/>
                      </a:schemeClr>
                    </a:solidFill>
                    <a:latin typeface="Arial" charset="0"/>
                    <a:ea typeface="Arial" charset="0"/>
                    <a:cs typeface="Arial" charset="0"/>
                  </a:defRPr>
                </a:pPr>
                <a:r>
                  <a:rPr lang="en-US"/>
                  <a:t>Section size (m2)</a:t>
                </a:r>
              </a:p>
            </c:rich>
          </c:tx>
          <c:overlay val="0"/>
          <c:spPr>
            <a:noFill/>
            <a:ln>
              <a:noFill/>
            </a:ln>
            <a:effectLst/>
          </c:sp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Arial" charset="0"/>
                <a:ea typeface="Arial" charset="0"/>
                <a:cs typeface="Arial" charset="0"/>
              </a:defRPr>
            </a:pPr>
            <a:endParaRPr lang="en-US"/>
          </a:p>
        </c:txPr>
        <c:crossAx val="131699840"/>
        <c:crosses val="autoZero"/>
        <c:crossBetween val="midCat"/>
      </c:valAx>
      <c:valAx>
        <c:axId val="13169984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chemeClr val="tx1">
                        <a:lumMod val="65000"/>
                        <a:lumOff val="35000"/>
                      </a:schemeClr>
                    </a:solidFill>
                    <a:latin typeface="Arial" charset="0"/>
                    <a:ea typeface="Arial" charset="0"/>
                    <a:cs typeface="Arial" charset="0"/>
                  </a:defRPr>
                </a:pPr>
                <a:r>
                  <a:rPr lang="en-US"/>
                  <a:t>Estimated section price ($)</a:t>
                </a:r>
              </a:p>
            </c:rich>
          </c:tx>
          <c:overlay val="0"/>
          <c:spPr>
            <a:noFill/>
            <a:ln>
              <a:noFill/>
            </a:ln>
            <a:effectLst/>
          </c:spPr>
        </c:title>
        <c:numFmt formatCode="&quot;$&quot;#,##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Arial" charset="0"/>
                <a:ea typeface="Arial" charset="0"/>
                <a:cs typeface="Arial" charset="0"/>
              </a:defRPr>
            </a:pPr>
            <a:endParaRPr lang="en-US"/>
          </a:p>
        </c:txPr>
        <c:crossAx val="131685376"/>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200">
          <a:latin typeface="Arial" charset="0"/>
          <a:ea typeface="Arial" charset="0"/>
          <a:cs typeface="Arial" charset="0"/>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4.JPG"/><Relationship Id="rId2" Type="http://schemas.openxmlformats.org/officeDocument/2006/relationships/image" Target="../media/image3.png"/><Relationship Id="rId1" Type="http://schemas.openxmlformats.org/officeDocument/2006/relationships/image" Target="../media/image2.png"/></Relationships>
</file>

<file path=xl/drawings/_rels/drawing10.xml.rels><?xml version="1.0" encoding="UTF-8" standalone="yes"?>
<Relationships xmlns="http://schemas.openxmlformats.org/package/2006/relationships"><Relationship Id="rId1" Type="http://schemas.openxmlformats.org/officeDocument/2006/relationships/hyperlink" Target="#'Key Inputs &amp; Outputs (LD)'!A1"/></Relationships>
</file>

<file path=xl/drawings/_rels/drawing11.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hyperlink" Target="#'Key Inputs &amp; Outputs (LD)'!A1"/></Relationships>
</file>

<file path=xl/drawings/_rels/drawing12.xml.rels><?xml version="1.0" encoding="UTF-8" standalone="yes"?>
<Relationships xmlns="http://schemas.openxmlformats.org/package/2006/relationships"><Relationship Id="rId3" Type="http://schemas.openxmlformats.org/officeDocument/2006/relationships/hyperlink" Target="#'1 Site preparation'!A1"/><Relationship Id="rId2" Type="http://schemas.openxmlformats.org/officeDocument/2006/relationships/hyperlink" Target="#'3 Ancillary'!A1"/><Relationship Id="rId1" Type="http://schemas.openxmlformats.org/officeDocument/2006/relationships/hyperlink" Target="#'2 Construction'!A1"/><Relationship Id="rId4" Type="http://schemas.openxmlformats.org/officeDocument/2006/relationships/hyperlink" Target="#'Getting Started'!A29"/></Relationships>
</file>

<file path=xl/drawings/_rels/drawing13.xml.rels><?xml version="1.0" encoding="UTF-8" standalone="yes"?>
<Relationships xmlns="http://schemas.openxmlformats.org/package/2006/relationships"><Relationship Id="rId1" Type="http://schemas.openxmlformats.org/officeDocument/2006/relationships/hyperlink" Target="#'Key Inputs &amp; Outputs (BD)'!A1"/></Relationships>
</file>

<file path=xl/drawings/_rels/drawing14.xml.rels><?xml version="1.0" encoding="UTF-8" standalone="yes"?>
<Relationships xmlns="http://schemas.openxmlformats.org/package/2006/relationships"><Relationship Id="rId1" Type="http://schemas.openxmlformats.org/officeDocument/2006/relationships/hyperlink" Target="#'Key Inputs &amp; Outputs (BD)'!A1"/></Relationships>
</file>

<file path=xl/drawings/_rels/drawing15.xml.rels><?xml version="1.0" encoding="UTF-8" standalone="yes"?>
<Relationships xmlns="http://schemas.openxmlformats.org/package/2006/relationships"><Relationship Id="rId1" Type="http://schemas.openxmlformats.org/officeDocument/2006/relationships/hyperlink" Target="#'Key Inputs &amp; Outputs (BD)'!A1"/></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6.emf"/><Relationship Id="rId1" Type="http://schemas.openxmlformats.org/officeDocument/2006/relationships/image" Target="../media/image5.emf"/><Relationship Id="rId4" Type="http://schemas.openxmlformats.org/officeDocument/2006/relationships/image" Target="../media/image4.JPG"/></Relationships>
</file>

<file path=xl/drawings/_rels/drawing3.xml.rels><?xml version="1.0" encoding="UTF-8" standalone="yes"?>
<Relationships xmlns="http://schemas.openxmlformats.org/package/2006/relationships"><Relationship Id="rId3" Type="http://schemas.openxmlformats.org/officeDocument/2006/relationships/hyperlink" Target="#'Key Inputs &amp; Outputs (BD)'!A1"/><Relationship Id="rId2" Type="http://schemas.openxmlformats.org/officeDocument/2006/relationships/hyperlink" Target="#'Key Inputs &amp; Outputs (LD)'!A1"/><Relationship Id="rId1" Type="http://schemas.openxmlformats.org/officeDocument/2006/relationships/hyperlink" Target="#'Financial assumptions'!A1"/><Relationship Id="rId5" Type="http://schemas.openxmlformats.org/officeDocument/2006/relationships/image" Target="../media/image4.JPG"/><Relationship Id="rId4" Type="http://schemas.openxmlformats.org/officeDocument/2006/relationships/image" Target="../media/image3.png"/></Relationships>
</file>

<file path=xl/drawings/_rels/drawing4.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7.xml.rels><?xml version="1.0" encoding="UTF-8" standalone="yes"?>
<Relationships xmlns="http://schemas.openxmlformats.org/package/2006/relationships"><Relationship Id="rId1" Type="http://schemas.openxmlformats.org/officeDocument/2006/relationships/hyperlink" Target="#'Getting Started'!A29"/></Relationships>
</file>

<file path=xl/drawings/_rels/drawing8.xml.rels><?xml version="1.0" encoding="UTF-8" standalone="yes"?>
<Relationships xmlns="http://schemas.openxmlformats.org/package/2006/relationships"><Relationship Id="rId3" Type="http://schemas.openxmlformats.org/officeDocument/2006/relationships/hyperlink" Target="#'Getting Started'!A29"/><Relationship Id="rId2" Type="http://schemas.openxmlformats.org/officeDocument/2006/relationships/hyperlink" Target="#'2 Fees and charges'!A1"/><Relationship Id="rId1" Type="http://schemas.openxmlformats.org/officeDocument/2006/relationships/hyperlink" Target="#'1 Civil works'!A1"/><Relationship Id="rId4" Type="http://schemas.openxmlformats.org/officeDocument/2006/relationships/hyperlink" Target="#'3 Section price gradient'!A1"/></Relationships>
</file>

<file path=xl/drawings/_rels/drawing9.xml.rels><?xml version="1.0" encoding="UTF-8" standalone="yes"?>
<Relationships xmlns="http://schemas.openxmlformats.org/package/2006/relationships"><Relationship Id="rId1" Type="http://schemas.openxmlformats.org/officeDocument/2006/relationships/hyperlink" Target="#'Key Inputs &amp; Outputs (LD)'!A1"/></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2</xdr:col>
      <xdr:colOff>1219200</xdr:colOff>
      <xdr:row>61</xdr:row>
      <xdr:rowOff>0</xdr:rowOff>
    </xdr:from>
    <xdr:to>
      <xdr:col>2</xdr:col>
      <xdr:colOff>2349500</xdr:colOff>
      <xdr:row>63</xdr:row>
      <xdr:rowOff>152400</xdr:rowOff>
    </xdr:to>
    <xdr:sp macro="" textlink="">
      <xdr:nvSpPr>
        <xdr:cNvPr id="4" name="Rectangle 3"/>
        <xdr:cNvSpPr/>
      </xdr:nvSpPr>
      <xdr:spPr>
        <a:xfrm>
          <a:off x="2682240" y="5745480"/>
          <a:ext cx="1130300" cy="609600"/>
        </a:xfrm>
        <a:prstGeom prst="rect">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400">
              <a:latin typeface="Arial" charset="0"/>
              <a:ea typeface="Arial" charset="0"/>
              <a:cs typeface="Arial" charset="0"/>
            </a:rPr>
            <a:t>Land developers</a:t>
          </a:r>
        </a:p>
      </xdr:txBody>
    </xdr:sp>
    <xdr:clientData/>
  </xdr:twoCellAnchor>
  <xdr:twoCellAnchor>
    <xdr:from>
      <xdr:col>2</xdr:col>
      <xdr:colOff>3848100</xdr:colOff>
      <xdr:row>61</xdr:row>
      <xdr:rowOff>0</xdr:rowOff>
    </xdr:from>
    <xdr:to>
      <xdr:col>2</xdr:col>
      <xdr:colOff>4978400</xdr:colOff>
      <xdr:row>63</xdr:row>
      <xdr:rowOff>152400</xdr:rowOff>
    </xdr:to>
    <xdr:sp macro="" textlink="">
      <xdr:nvSpPr>
        <xdr:cNvPr id="5" name="Rectangle 4"/>
        <xdr:cNvSpPr/>
      </xdr:nvSpPr>
      <xdr:spPr>
        <a:xfrm>
          <a:off x="5311140" y="5745480"/>
          <a:ext cx="1130300" cy="609600"/>
        </a:xfrm>
        <a:prstGeom prst="rect">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400">
              <a:latin typeface="Arial" charset="0"/>
              <a:ea typeface="Arial" charset="0"/>
              <a:cs typeface="Arial" charset="0"/>
            </a:rPr>
            <a:t>Building developers</a:t>
          </a:r>
        </a:p>
      </xdr:txBody>
    </xdr:sp>
    <xdr:clientData/>
  </xdr:twoCellAnchor>
  <xdr:twoCellAnchor>
    <xdr:from>
      <xdr:col>2</xdr:col>
      <xdr:colOff>6629400</xdr:colOff>
      <xdr:row>61</xdr:row>
      <xdr:rowOff>0</xdr:rowOff>
    </xdr:from>
    <xdr:to>
      <xdr:col>2</xdr:col>
      <xdr:colOff>7759700</xdr:colOff>
      <xdr:row>63</xdr:row>
      <xdr:rowOff>152400</xdr:rowOff>
    </xdr:to>
    <xdr:sp macro="" textlink="">
      <xdr:nvSpPr>
        <xdr:cNvPr id="6" name="Rectangle 5"/>
        <xdr:cNvSpPr/>
      </xdr:nvSpPr>
      <xdr:spPr>
        <a:xfrm>
          <a:off x="8092440" y="5745480"/>
          <a:ext cx="1130300" cy="609600"/>
        </a:xfrm>
        <a:prstGeom prst="rect">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400">
              <a:latin typeface="Arial" charset="0"/>
              <a:ea typeface="Arial" charset="0"/>
              <a:cs typeface="Arial" charset="0"/>
            </a:rPr>
            <a:t>Home-buyers</a:t>
          </a:r>
        </a:p>
      </xdr:txBody>
    </xdr:sp>
    <xdr:clientData/>
  </xdr:twoCellAnchor>
  <xdr:twoCellAnchor>
    <xdr:from>
      <xdr:col>1</xdr:col>
      <xdr:colOff>1130300</xdr:colOff>
      <xdr:row>62</xdr:row>
      <xdr:rowOff>76200</xdr:rowOff>
    </xdr:from>
    <xdr:to>
      <xdr:col>2</xdr:col>
      <xdr:colOff>1219200</xdr:colOff>
      <xdr:row>62</xdr:row>
      <xdr:rowOff>76200</xdr:rowOff>
    </xdr:to>
    <xdr:cxnSp macro="">
      <xdr:nvCxnSpPr>
        <xdr:cNvPr id="7" name="Straight Arrow Connector 6"/>
        <xdr:cNvCxnSpPr>
          <a:stCxn id="11" idx="3"/>
          <a:endCxn id="4" idx="1"/>
        </xdr:cNvCxnSpPr>
      </xdr:nvCxnSpPr>
      <xdr:spPr>
        <a:xfrm>
          <a:off x="1290320" y="6050280"/>
          <a:ext cx="1391920"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2349500</xdr:colOff>
      <xdr:row>62</xdr:row>
      <xdr:rowOff>76200</xdr:rowOff>
    </xdr:from>
    <xdr:to>
      <xdr:col>2</xdr:col>
      <xdr:colOff>3848100</xdr:colOff>
      <xdr:row>62</xdr:row>
      <xdr:rowOff>76200</xdr:rowOff>
    </xdr:to>
    <xdr:cxnSp macro="">
      <xdr:nvCxnSpPr>
        <xdr:cNvPr id="8" name="Straight Arrow Connector 7"/>
        <xdr:cNvCxnSpPr>
          <a:stCxn id="4" idx="3"/>
          <a:endCxn id="5" idx="1"/>
        </xdr:cNvCxnSpPr>
      </xdr:nvCxnSpPr>
      <xdr:spPr>
        <a:xfrm>
          <a:off x="3812540" y="6050280"/>
          <a:ext cx="1498600"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4978400</xdr:colOff>
      <xdr:row>62</xdr:row>
      <xdr:rowOff>76200</xdr:rowOff>
    </xdr:from>
    <xdr:to>
      <xdr:col>2</xdr:col>
      <xdr:colOff>6629400</xdr:colOff>
      <xdr:row>62</xdr:row>
      <xdr:rowOff>76200</xdr:rowOff>
    </xdr:to>
    <xdr:cxnSp macro="">
      <xdr:nvCxnSpPr>
        <xdr:cNvPr id="9" name="Straight Arrow Connector 8"/>
        <xdr:cNvCxnSpPr>
          <a:stCxn id="5" idx="3"/>
          <a:endCxn id="6" idx="1"/>
        </xdr:cNvCxnSpPr>
      </xdr:nvCxnSpPr>
      <xdr:spPr>
        <a:xfrm>
          <a:off x="6441440" y="6050280"/>
          <a:ext cx="1651000"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1206500</xdr:colOff>
      <xdr:row>61</xdr:row>
      <xdr:rowOff>76200</xdr:rowOff>
    </xdr:from>
    <xdr:ext cx="1271245" cy="269369"/>
    <xdr:sp macro="" textlink="">
      <xdr:nvSpPr>
        <xdr:cNvPr id="10" name="TextBox 9"/>
        <xdr:cNvSpPr txBox="1"/>
      </xdr:nvSpPr>
      <xdr:spPr>
        <a:xfrm>
          <a:off x="1366520" y="5821680"/>
          <a:ext cx="1271245" cy="2693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200">
              <a:latin typeface="Arial" charset="0"/>
              <a:ea typeface="Arial" charset="0"/>
              <a:cs typeface="Arial" charset="0"/>
            </a:rPr>
            <a:t>sell bare land to</a:t>
          </a:r>
        </a:p>
      </xdr:txBody>
    </xdr:sp>
    <xdr:clientData/>
  </xdr:oneCellAnchor>
  <xdr:twoCellAnchor>
    <xdr:from>
      <xdr:col>1</xdr:col>
      <xdr:colOff>0</xdr:colOff>
      <xdr:row>61</xdr:row>
      <xdr:rowOff>0</xdr:rowOff>
    </xdr:from>
    <xdr:to>
      <xdr:col>1</xdr:col>
      <xdr:colOff>1130300</xdr:colOff>
      <xdr:row>63</xdr:row>
      <xdr:rowOff>152400</xdr:rowOff>
    </xdr:to>
    <xdr:sp macro="" textlink="">
      <xdr:nvSpPr>
        <xdr:cNvPr id="11" name="Rectangle 10"/>
        <xdr:cNvSpPr/>
      </xdr:nvSpPr>
      <xdr:spPr>
        <a:xfrm>
          <a:off x="160020" y="5745480"/>
          <a:ext cx="1130300" cy="609600"/>
        </a:xfrm>
        <a:prstGeom prst="rect">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400">
              <a:latin typeface="Arial" charset="0"/>
              <a:ea typeface="Arial" charset="0"/>
              <a:cs typeface="Arial" charset="0"/>
            </a:rPr>
            <a:t>Land owners</a:t>
          </a:r>
        </a:p>
      </xdr:txBody>
    </xdr:sp>
    <xdr:clientData/>
  </xdr:twoCellAnchor>
  <xdr:oneCellAnchor>
    <xdr:from>
      <xdr:col>2</xdr:col>
      <xdr:colOff>2425701</xdr:colOff>
      <xdr:row>61</xdr:row>
      <xdr:rowOff>76200</xdr:rowOff>
    </xdr:from>
    <xdr:ext cx="1346200" cy="457200"/>
    <xdr:sp macro="" textlink="">
      <xdr:nvSpPr>
        <xdr:cNvPr id="12" name="TextBox 11"/>
        <xdr:cNvSpPr txBox="1"/>
      </xdr:nvSpPr>
      <xdr:spPr>
        <a:xfrm>
          <a:off x="3888741" y="5821680"/>
          <a:ext cx="1346200" cy="4572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n-US" sz="1200">
              <a:latin typeface="Arial" charset="0"/>
              <a:ea typeface="Arial" charset="0"/>
              <a:cs typeface="Arial" charset="0"/>
            </a:rPr>
            <a:t>sell finished sections to</a:t>
          </a:r>
        </a:p>
      </xdr:txBody>
    </xdr:sp>
    <xdr:clientData/>
  </xdr:oneCellAnchor>
  <xdr:oneCellAnchor>
    <xdr:from>
      <xdr:col>2</xdr:col>
      <xdr:colOff>5245100</xdr:colOff>
      <xdr:row>61</xdr:row>
      <xdr:rowOff>76200</xdr:rowOff>
    </xdr:from>
    <xdr:ext cx="1091389" cy="269369"/>
    <xdr:sp macro="" textlink="">
      <xdr:nvSpPr>
        <xdr:cNvPr id="13" name="TextBox 12"/>
        <xdr:cNvSpPr txBox="1"/>
      </xdr:nvSpPr>
      <xdr:spPr>
        <a:xfrm>
          <a:off x="6708140" y="5821680"/>
          <a:ext cx="1091389" cy="2693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200">
              <a:latin typeface="Arial" charset="0"/>
              <a:ea typeface="Arial" charset="0"/>
              <a:cs typeface="Arial" charset="0"/>
            </a:rPr>
            <a:t>sell homes to</a:t>
          </a:r>
        </a:p>
      </xdr:txBody>
    </xdr:sp>
    <xdr:clientData/>
  </xdr:oneCellAnchor>
  <xdr:twoCellAnchor>
    <xdr:from>
      <xdr:col>2</xdr:col>
      <xdr:colOff>1219200</xdr:colOff>
      <xdr:row>65</xdr:row>
      <xdr:rowOff>215900</xdr:rowOff>
    </xdr:from>
    <xdr:to>
      <xdr:col>2</xdr:col>
      <xdr:colOff>2349500</xdr:colOff>
      <xdr:row>68</xdr:row>
      <xdr:rowOff>127000</xdr:rowOff>
    </xdr:to>
    <xdr:sp macro="" textlink="">
      <xdr:nvSpPr>
        <xdr:cNvPr id="14" name="Rectangle 13"/>
        <xdr:cNvSpPr/>
      </xdr:nvSpPr>
      <xdr:spPr>
        <a:xfrm>
          <a:off x="2682240" y="6875780"/>
          <a:ext cx="1130300" cy="596900"/>
        </a:xfrm>
        <a:prstGeom prst="rect">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400">
              <a:latin typeface="Arial" charset="0"/>
              <a:ea typeface="Arial" charset="0"/>
              <a:cs typeface="Arial" charset="0"/>
            </a:rPr>
            <a:t>Infra. providers</a:t>
          </a:r>
        </a:p>
      </xdr:txBody>
    </xdr:sp>
    <xdr:clientData/>
  </xdr:twoCellAnchor>
  <xdr:twoCellAnchor>
    <xdr:from>
      <xdr:col>2</xdr:col>
      <xdr:colOff>3848100</xdr:colOff>
      <xdr:row>65</xdr:row>
      <xdr:rowOff>215900</xdr:rowOff>
    </xdr:from>
    <xdr:to>
      <xdr:col>2</xdr:col>
      <xdr:colOff>4978400</xdr:colOff>
      <xdr:row>68</xdr:row>
      <xdr:rowOff>127000</xdr:rowOff>
    </xdr:to>
    <xdr:sp macro="" textlink="">
      <xdr:nvSpPr>
        <xdr:cNvPr id="15" name="Rectangle 14"/>
        <xdr:cNvSpPr/>
      </xdr:nvSpPr>
      <xdr:spPr>
        <a:xfrm>
          <a:off x="5311140" y="6875780"/>
          <a:ext cx="1130300" cy="596900"/>
        </a:xfrm>
        <a:prstGeom prst="rect">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400">
              <a:latin typeface="Arial" charset="0"/>
              <a:ea typeface="Arial" charset="0"/>
              <a:cs typeface="Arial" charset="0"/>
            </a:rPr>
            <a:t>Constr.</a:t>
          </a:r>
          <a:r>
            <a:rPr lang="en-US" sz="1400" baseline="0">
              <a:latin typeface="Arial" charset="0"/>
              <a:ea typeface="Arial" charset="0"/>
              <a:cs typeface="Arial" charset="0"/>
            </a:rPr>
            <a:t> </a:t>
          </a:r>
          <a:r>
            <a:rPr lang="en-US" sz="1400">
              <a:latin typeface="Arial" charset="0"/>
              <a:ea typeface="Arial" charset="0"/>
              <a:cs typeface="Arial" charset="0"/>
            </a:rPr>
            <a:t>suppliers</a:t>
          </a:r>
        </a:p>
      </xdr:txBody>
    </xdr:sp>
    <xdr:clientData/>
  </xdr:twoCellAnchor>
  <xdr:twoCellAnchor>
    <xdr:from>
      <xdr:col>2</xdr:col>
      <xdr:colOff>1784350</xdr:colOff>
      <xdr:row>63</xdr:row>
      <xdr:rowOff>152400</xdr:rowOff>
    </xdr:from>
    <xdr:to>
      <xdr:col>2</xdr:col>
      <xdr:colOff>1784350</xdr:colOff>
      <xdr:row>65</xdr:row>
      <xdr:rowOff>215900</xdr:rowOff>
    </xdr:to>
    <xdr:cxnSp macro="">
      <xdr:nvCxnSpPr>
        <xdr:cNvPr id="16" name="Straight Arrow Connector 15"/>
        <xdr:cNvCxnSpPr>
          <a:stCxn id="14" idx="0"/>
          <a:endCxn id="4" idx="2"/>
        </xdr:cNvCxnSpPr>
      </xdr:nvCxnSpPr>
      <xdr:spPr>
        <a:xfrm flipV="1">
          <a:off x="3247390" y="6355080"/>
          <a:ext cx="0" cy="52070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4413250</xdr:colOff>
      <xdr:row>63</xdr:row>
      <xdr:rowOff>152400</xdr:rowOff>
    </xdr:from>
    <xdr:to>
      <xdr:col>2</xdr:col>
      <xdr:colOff>4413250</xdr:colOff>
      <xdr:row>65</xdr:row>
      <xdr:rowOff>215900</xdr:rowOff>
    </xdr:to>
    <xdr:cxnSp macro="">
      <xdr:nvCxnSpPr>
        <xdr:cNvPr id="17" name="Straight Arrow Connector 16"/>
        <xdr:cNvCxnSpPr>
          <a:stCxn id="15" idx="0"/>
          <a:endCxn id="5" idx="2"/>
        </xdr:cNvCxnSpPr>
      </xdr:nvCxnSpPr>
      <xdr:spPr>
        <a:xfrm flipV="1">
          <a:off x="5876290" y="6355080"/>
          <a:ext cx="0" cy="52070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1790701</xdr:colOff>
      <xdr:row>63</xdr:row>
      <xdr:rowOff>228600</xdr:rowOff>
    </xdr:from>
    <xdr:ext cx="1041400" cy="446404"/>
    <xdr:sp macro="" textlink="">
      <xdr:nvSpPr>
        <xdr:cNvPr id="18" name="TextBox 17"/>
        <xdr:cNvSpPr txBox="1"/>
      </xdr:nvSpPr>
      <xdr:spPr>
        <a:xfrm>
          <a:off x="3253741" y="6431280"/>
          <a:ext cx="1041400" cy="44640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200">
              <a:latin typeface="Arial" charset="0"/>
              <a:ea typeface="Arial" charset="0"/>
              <a:cs typeface="Arial" charset="0"/>
            </a:rPr>
            <a:t>supply pipes and roads</a:t>
          </a:r>
        </a:p>
      </xdr:txBody>
    </xdr:sp>
    <xdr:clientData/>
  </xdr:oneCellAnchor>
  <xdr:oneCellAnchor>
    <xdr:from>
      <xdr:col>2</xdr:col>
      <xdr:colOff>4394200</xdr:colOff>
      <xdr:row>63</xdr:row>
      <xdr:rowOff>215900</xdr:rowOff>
    </xdr:from>
    <xdr:ext cx="1562100" cy="446404"/>
    <xdr:sp macro="" textlink="">
      <xdr:nvSpPr>
        <xdr:cNvPr id="19" name="TextBox 18"/>
        <xdr:cNvSpPr txBox="1"/>
      </xdr:nvSpPr>
      <xdr:spPr>
        <a:xfrm>
          <a:off x="5857240" y="6418580"/>
          <a:ext cx="1562100" cy="44640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200">
              <a:latin typeface="Arial" charset="0"/>
              <a:ea typeface="Arial" charset="0"/>
              <a:cs typeface="Arial" charset="0"/>
            </a:rPr>
            <a:t>supply construction inputs</a:t>
          </a:r>
        </a:p>
      </xdr:txBody>
    </xdr:sp>
    <xdr:clientData/>
  </xdr:oneCellAnchor>
  <xdr:twoCellAnchor editAs="oneCell">
    <xdr:from>
      <xdr:col>1</xdr:col>
      <xdr:colOff>47625</xdr:colOff>
      <xdr:row>21</xdr:row>
      <xdr:rowOff>95250</xdr:rowOff>
    </xdr:from>
    <xdr:to>
      <xdr:col>2</xdr:col>
      <xdr:colOff>3076575</xdr:colOff>
      <xdr:row>29</xdr:row>
      <xdr:rowOff>552450</xdr:rowOff>
    </xdr:to>
    <xdr:pic>
      <xdr:nvPicPr>
        <xdr:cNvPr id="27" name="Picture 26"/>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0025" y="5600700"/>
          <a:ext cx="4295775" cy="3981450"/>
        </a:xfrm>
        <a:prstGeom prst="rect">
          <a:avLst/>
        </a:prstGeom>
        <a:noFill/>
        <a:ln>
          <a:noFill/>
        </a:ln>
      </xdr:spPr>
    </xdr:pic>
    <xdr:clientData/>
  </xdr:twoCellAnchor>
  <mc:AlternateContent xmlns:mc="http://schemas.openxmlformats.org/markup-compatibility/2006">
    <mc:Choice xmlns:a14="http://schemas.microsoft.com/office/drawing/2010/main" Requires="a14">
      <xdr:twoCellAnchor editAs="oneCell">
        <xdr:from>
          <xdr:col>1</xdr:col>
          <xdr:colOff>0</xdr:colOff>
          <xdr:row>42</xdr:row>
          <xdr:rowOff>121920</xdr:rowOff>
        </xdr:from>
        <xdr:to>
          <xdr:col>2</xdr:col>
          <xdr:colOff>4564380</xdr:colOff>
          <xdr:row>52</xdr:row>
          <xdr:rowOff>76200</xdr:rowOff>
        </xdr:to>
        <xdr:sp macro="" textlink="">
          <xdr:nvSpPr>
            <xdr:cNvPr id="12292" name="Object 4" hidden="1">
              <a:extLst>
                <a:ext uri="{63B3BB69-23CF-44E3-9099-C40C66FF867C}">
                  <a14:compatExt spid="_x0000_s12292"/>
                </a:ext>
              </a:extLst>
            </xdr:cNvPr>
            <xdr:cNvSpPr/>
          </xdr:nvSpPr>
          <xdr:spPr>
            <a:xfrm>
              <a:off x="0" y="0"/>
              <a:ext cx="0" cy="0"/>
            </a:xfrm>
            <a:prstGeom prst="rect">
              <a:avLst/>
            </a:prstGeom>
          </xdr:spPr>
        </xdr:sp>
        <xdr:clientData/>
      </xdr:twoCellAnchor>
    </mc:Choice>
    <mc:Fallback/>
  </mc:AlternateContent>
  <xdr:twoCellAnchor>
    <xdr:from>
      <xdr:col>1</xdr:col>
      <xdr:colOff>0</xdr:colOff>
      <xdr:row>0</xdr:row>
      <xdr:rowOff>209550</xdr:rowOff>
    </xdr:from>
    <xdr:to>
      <xdr:col>2</xdr:col>
      <xdr:colOff>9015984</xdr:colOff>
      <xdr:row>6</xdr:row>
      <xdr:rowOff>178980</xdr:rowOff>
    </xdr:to>
    <xdr:grpSp>
      <xdr:nvGrpSpPr>
        <xdr:cNvPr id="20" name="Group 19"/>
        <xdr:cNvGrpSpPr/>
      </xdr:nvGrpSpPr>
      <xdr:grpSpPr>
        <a:xfrm>
          <a:off x="160020" y="209550"/>
          <a:ext cx="10319004" cy="1295310"/>
          <a:chOff x="152400" y="209550"/>
          <a:chExt cx="10282809" cy="1341030"/>
        </a:xfrm>
      </xdr:grpSpPr>
      <xdr:pic>
        <xdr:nvPicPr>
          <xdr:cNvPr id="2" name="Picture 1" descr="ttp://www.procurement.govt.nz/procurement/image-library/MBIE-logo.png/image"/>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400" y="228600"/>
            <a:ext cx="4550885" cy="91440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3" name="Picture 2"/>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200775" y="209550"/>
            <a:ext cx="4234434" cy="1341030"/>
          </a:xfrm>
          <a:prstGeom prst="rect">
            <a:avLst/>
          </a:prstGeom>
        </xdr:spPr>
      </xdr:pic>
    </xdr:grp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63500</xdr:colOff>
      <xdr:row>3</xdr:row>
      <xdr:rowOff>12700</xdr:rowOff>
    </xdr:from>
    <xdr:to>
      <xdr:col>1</xdr:col>
      <xdr:colOff>190500</xdr:colOff>
      <xdr:row>5</xdr:row>
      <xdr:rowOff>63500</xdr:rowOff>
    </xdr:to>
    <xdr:sp macro="" textlink="">
      <xdr:nvSpPr>
        <xdr:cNvPr id="2" name="Rectangle 1">
          <a:hlinkClick xmlns:r="http://schemas.openxmlformats.org/officeDocument/2006/relationships" r:id="rId1"/>
        </xdr:cNvPr>
        <xdr:cNvSpPr/>
      </xdr:nvSpPr>
      <xdr:spPr>
        <a:xfrm>
          <a:off x="63500" y="647700"/>
          <a:ext cx="3200400" cy="457200"/>
        </a:xfrm>
        <a:prstGeom prst="rect">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NZ" sz="1400">
              <a:latin typeface="Arial" panose="020B0604020202020204" pitchFamily="34" charset="0"/>
              <a:cs typeface="Arial" panose="020B0604020202020204" pitchFamily="34" charset="0"/>
            </a:rPr>
            <a:t>Return to Key</a:t>
          </a:r>
          <a:r>
            <a:rPr lang="en-NZ" sz="1400" baseline="0">
              <a:latin typeface="Arial" panose="020B0604020202020204" pitchFamily="34" charset="0"/>
              <a:cs typeface="Arial" panose="020B0604020202020204" pitchFamily="34" charset="0"/>
            </a:rPr>
            <a:t> Inputs and Outputs</a:t>
          </a:r>
          <a:endParaRPr lang="en-NZ" sz="1400">
            <a:latin typeface="Arial" panose="020B0604020202020204" pitchFamily="34" charset="0"/>
            <a:cs typeface="Arial" panose="020B0604020202020204" pitchFamily="34" charset="0"/>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63500</xdr:colOff>
      <xdr:row>3</xdr:row>
      <xdr:rowOff>12700</xdr:rowOff>
    </xdr:from>
    <xdr:to>
      <xdr:col>1</xdr:col>
      <xdr:colOff>1219200</xdr:colOff>
      <xdr:row>5</xdr:row>
      <xdr:rowOff>63500</xdr:rowOff>
    </xdr:to>
    <xdr:sp macro="" textlink="">
      <xdr:nvSpPr>
        <xdr:cNvPr id="3" name="Rectangle 2">
          <a:hlinkClick xmlns:r="http://schemas.openxmlformats.org/officeDocument/2006/relationships" r:id="rId1"/>
        </xdr:cNvPr>
        <xdr:cNvSpPr/>
      </xdr:nvSpPr>
      <xdr:spPr>
        <a:xfrm>
          <a:off x="63500" y="647700"/>
          <a:ext cx="3200400" cy="457200"/>
        </a:xfrm>
        <a:prstGeom prst="rect">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NZ" sz="1400">
              <a:latin typeface="Arial" panose="020B0604020202020204" pitchFamily="34" charset="0"/>
              <a:cs typeface="Arial" panose="020B0604020202020204" pitchFamily="34" charset="0"/>
            </a:rPr>
            <a:t>Return to Key</a:t>
          </a:r>
          <a:r>
            <a:rPr lang="en-NZ" sz="1400" baseline="0">
              <a:latin typeface="Arial" panose="020B0604020202020204" pitchFamily="34" charset="0"/>
              <a:cs typeface="Arial" panose="020B0604020202020204" pitchFamily="34" charset="0"/>
            </a:rPr>
            <a:t> Inputs and Outputs</a:t>
          </a:r>
          <a:endParaRPr lang="en-NZ" sz="1400">
            <a:latin typeface="Arial" panose="020B0604020202020204" pitchFamily="34" charset="0"/>
            <a:cs typeface="Arial" panose="020B0604020202020204" pitchFamily="34" charset="0"/>
          </a:endParaRPr>
        </a:p>
      </xdr:txBody>
    </xdr:sp>
    <xdr:clientData/>
  </xdr:twoCellAnchor>
  <xdr:twoCellAnchor>
    <xdr:from>
      <xdr:col>3</xdr:col>
      <xdr:colOff>12700</xdr:colOff>
      <xdr:row>6</xdr:row>
      <xdr:rowOff>25400</xdr:rowOff>
    </xdr:from>
    <xdr:to>
      <xdr:col>10</xdr:col>
      <xdr:colOff>228600</xdr:colOff>
      <xdr:row>28</xdr:row>
      <xdr:rowOff>127000</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4</xdr:col>
      <xdr:colOff>939800</xdr:colOff>
      <xdr:row>33</xdr:row>
      <xdr:rowOff>25400</xdr:rowOff>
    </xdr:from>
    <xdr:to>
      <xdr:col>9</xdr:col>
      <xdr:colOff>114300</xdr:colOff>
      <xdr:row>33</xdr:row>
      <xdr:rowOff>299720</xdr:rowOff>
    </xdr:to>
    <xdr:sp macro="" textlink="">
      <xdr:nvSpPr>
        <xdr:cNvPr id="3" name="Rectangle 2">
          <a:hlinkClick xmlns:r="http://schemas.openxmlformats.org/officeDocument/2006/relationships" r:id="rId1"/>
        </xdr:cNvPr>
        <xdr:cNvSpPr/>
      </xdr:nvSpPr>
      <xdr:spPr>
        <a:xfrm>
          <a:off x="5740400" y="5245100"/>
          <a:ext cx="4572000" cy="274320"/>
        </a:xfrm>
        <a:prstGeom prst="rect">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NZ" sz="1400">
              <a:latin typeface="Arial" panose="020B0604020202020204" pitchFamily="34" charset="0"/>
              <a:cs typeface="Arial" panose="020B0604020202020204" pitchFamily="34" charset="0"/>
            </a:rPr>
            <a:t>Select</a:t>
          </a:r>
          <a:r>
            <a:rPr lang="en-NZ" sz="1400" baseline="0">
              <a:latin typeface="Arial" panose="020B0604020202020204" pitchFamily="34" charset="0"/>
              <a:cs typeface="Arial" panose="020B0604020202020204" pitchFamily="34" charset="0"/>
            </a:rPr>
            <a:t> construction costs</a:t>
          </a:r>
          <a:endParaRPr lang="en-NZ" sz="1400">
            <a:latin typeface="Arial" panose="020B0604020202020204" pitchFamily="34" charset="0"/>
            <a:cs typeface="Arial" panose="020B0604020202020204" pitchFamily="34" charset="0"/>
          </a:endParaRPr>
        </a:p>
      </xdr:txBody>
    </xdr:sp>
    <xdr:clientData/>
  </xdr:twoCellAnchor>
  <xdr:twoCellAnchor>
    <xdr:from>
      <xdr:col>4</xdr:col>
      <xdr:colOff>939800</xdr:colOff>
      <xdr:row>34</xdr:row>
      <xdr:rowOff>25400</xdr:rowOff>
    </xdr:from>
    <xdr:to>
      <xdr:col>9</xdr:col>
      <xdr:colOff>114300</xdr:colOff>
      <xdr:row>34</xdr:row>
      <xdr:rowOff>299720</xdr:rowOff>
    </xdr:to>
    <xdr:sp macro="" textlink="">
      <xdr:nvSpPr>
        <xdr:cNvPr id="4" name="Rectangle 3">
          <a:hlinkClick xmlns:r="http://schemas.openxmlformats.org/officeDocument/2006/relationships" r:id="rId2"/>
        </xdr:cNvPr>
        <xdr:cNvSpPr/>
      </xdr:nvSpPr>
      <xdr:spPr>
        <a:xfrm>
          <a:off x="5740400" y="5613400"/>
          <a:ext cx="4572000" cy="274320"/>
        </a:xfrm>
        <a:prstGeom prst="rect">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NZ" sz="1400">
              <a:latin typeface="Arial" panose="020B0604020202020204" pitchFamily="34" charset="0"/>
              <a:cs typeface="Arial" panose="020B0604020202020204" pitchFamily="34" charset="0"/>
            </a:rPr>
            <a:t>Select</a:t>
          </a:r>
          <a:r>
            <a:rPr lang="en-NZ" sz="1400" baseline="0">
              <a:latin typeface="Arial" panose="020B0604020202020204" pitchFamily="34" charset="0"/>
              <a:cs typeface="Arial" panose="020B0604020202020204" pitchFamily="34" charset="0"/>
            </a:rPr>
            <a:t> ancillary costs</a:t>
          </a:r>
          <a:endParaRPr lang="en-NZ" sz="1400">
            <a:latin typeface="Arial" panose="020B0604020202020204" pitchFamily="34" charset="0"/>
            <a:cs typeface="Arial" panose="020B0604020202020204" pitchFamily="34" charset="0"/>
          </a:endParaRPr>
        </a:p>
      </xdr:txBody>
    </xdr:sp>
    <xdr:clientData/>
  </xdr:twoCellAnchor>
  <xdr:twoCellAnchor>
    <xdr:from>
      <xdr:col>4</xdr:col>
      <xdr:colOff>939800</xdr:colOff>
      <xdr:row>32</xdr:row>
      <xdr:rowOff>25400</xdr:rowOff>
    </xdr:from>
    <xdr:to>
      <xdr:col>9</xdr:col>
      <xdr:colOff>114300</xdr:colOff>
      <xdr:row>32</xdr:row>
      <xdr:rowOff>299720</xdr:rowOff>
    </xdr:to>
    <xdr:sp macro="" textlink="">
      <xdr:nvSpPr>
        <xdr:cNvPr id="5" name="Rectangle 4">
          <a:hlinkClick xmlns:r="http://schemas.openxmlformats.org/officeDocument/2006/relationships" r:id="rId3"/>
        </xdr:cNvPr>
        <xdr:cNvSpPr/>
      </xdr:nvSpPr>
      <xdr:spPr>
        <a:xfrm>
          <a:off x="5740400" y="4876800"/>
          <a:ext cx="4572000" cy="274320"/>
        </a:xfrm>
        <a:prstGeom prst="rect">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NZ" sz="1400">
              <a:latin typeface="Arial" panose="020B0604020202020204" pitchFamily="34" charset="0"/>
              <a:cs typeface="Arial" panose="020B0604020202020204" pitchFamily="34" charset="0"/>
            </a:rPr>
            <a:t>Select</a:t>
          </a:r>
          <a:r>
            <a:rPr lang="en-NZ" sz="1400" baseline="0">
              <a:latin typeface="Arial" panose="020B0604020202020204" pitchFamily="34" charset="0"/>
              <a:cs typeface="Arial" panose="020B0604020202020204" pitchFamily="34" charset="0"/>
            </a:rPr>
            <a:t> land preparation costs</a:t>
          </a:r>
          <a:endParaRPr lang="en-NZ" sz="1400">
            <a:latin typeface="Arial" panose="020B0604020202020204" pitchFamily="34" charset="0"/>
            <a:cs typeface="Arial" panose="020B0604020202020204" pitchFamily="34" charset="0"/>
          </a:endParaRPr>
        </a:p>
      </xdr:txBody>
    </xdr:sp>
    <xdr:clientData/>
  </xdr:twoCellAnchor>
  <xdr:twoCellAnchor>
    <xdr:from>
      <xdr:col>7</xdr:col>
      <xdr:colOff>0</xdr:colOff>
      <xdr:row>2</xdr:row>
      <xdr:rowOff>0</xdr:rowOff>
    </xdr:from>
    <xdr:to>
      <xdr:col>9</xdr:col>
      <xdr:colOff>1041400</xdr:colOff>
      <xdr:row>3</xdr:row>
      <xdr:rowOff>203200</xdr:rowOff>
    </xdr:to>
    <xdr:sp macro="" textlink="">
      <xdr:nvSpPr>
        <xdr:cNvPr id="6" name="Rectangle 5">
          <a:hlinkClick xmlns:r="http://schemas.openxmlformats.org/officeDocument/2006/relationships" r:id="rId4"/>
        </xdr:cNvPr>
        <xdr:cNvSpPr/>
      </xdr:nvSpPr>
      <xdr:spPr>
        <a:xfrm>
          <a:off x="8153400" y="457200"/>
          <a:ext cx="3200400" cy="457200"/>
        </a:xfrm>
        <a:prstGeom prst="rect">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400">
              <a:latin typeface="Arial" charset="0"/>
              <a:ea typeface="Arial" charset="0"/>
              <a:cs typeface="Arial" charset="0"/>
            </a:rPr>
            <a:t>Return to 'Getting</a:t>
          </a:r>
          <a:r>
            <a:rPr lang="en-US" sz="1400" baseline="0">
              <a:latin typeface="Arial" charset="0"/>
              <a:ea typeface="Arial" charset="0"/>
              <a:cs typeface="Arial" charset="0"/>
            </a:rPr>
            <a:t> Started'</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88900</xdr:colOff>
      <xdr:row>2</xdr:row>
      <xdr:rowOff>101600</xdr:rowOff>
    </xdr:from>
    <xdr:to>
      <xdr:col>2</xdr:col>
      <xdr:colOff>38100</xdr:colOff>
      <xdr:row>4</xdr:row>
      <xdr:rowOff>152400</xdr:rowOff>
    </xdr:to>
    <xdr:sp macro="" textlink="">
      <xdr:nvSpPr>
        <xdr:cNvPr id="2" name="Rectangle 1">
          <a:hlinkClick xmlns:r="http://schemas.openxmlformats.org/officeDocument/2006/relationships" r:id="rId1"/>
        </xdr:cNvPr>
        <xdr:cNvSpPr/>
      </xdr:nvSpPr>
      <xdr:spPr>
        <a:xfrm>
          <a:off x="88900" y="533400"/>
          <a:ext cx="3200400" cy="457200"/>
        </a:xfrm>
        <a:prstGeom prst="rect">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NZ" sz="1400">
              <a:latin typeface="Arial" panose="020B0604020202020204" pitchFamily="34" charset="0"/>
              <a:cs typeface="Arial" panose="020B0604020202020204" pitchFamily="34" charset="0"/>
            </a:rPr>
            <a:t>Return to Key</a:t>
          </a:r>
          <a:r>
            <a:rPr lang="en-NZ" sz="1400" baseline="0">
              <a:latin typeface="Arial" panose="020B0604020202020204" pitchFamily="34" charset="0"/>
              <a:cs typeface="Arial" panose="020B0604020202020204" pitchFamily="34" charset="0"/>
            </a:rPr>
            <a:t> Inputs and Outputs</a:t>
          </a:r>
          <a:endParaRPr lang="en-NZ" sz="1400">
            <a:latin typeface="Arial" panose="020B0604020202020204" pitchFamily="34" charset="0"/>
            <a:cs typeface="Arial" panose="020B0604020202020204" pitchFamily="34" charset="0"/>
          </a:endParaRP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101600</xdr:colOff>
      <xdr:row>2</xdr:row>
      <xdr:rowOff>88900</xdr:rowOff>
    </xdr:from>
    <xdr:to>
      <xdr:col>1</xdr:col>
      <xdr:colOff>419100</xdr:colOff>
      <xdr:row>4</xdr:row>
      <xdr:rowOff>139700</xdr:rowOff>
    </xdr:to>
    <xdr:sp macro="" textlink="">
      <xdr:nvSpPr>
        <xdr:cNvPr id="2" name="Rectangle 1">
          <a:hlinkClick xmlns:r="http://schemas.openxmlformats.org/officeDocument/2006/relationships" r:id="rId1"/>
        </xdr:cNvPr>
        <xdr:cNvSpPr/>
      </xdr:nvSpPr>
      <xdr:spPr>
        <a:xfrm>
          <a:off x="101600" y="520700"/>
          <a:ext cx="3200400" cy="457200"/>
        </a:xfrm>
        <a:prstGeom prst="rect">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NZ" sz="1400">
              <a:latin typeface="Arial" panose="020B0604020202020204" pitchFamily="34" charset="0"/>
              <a:cs typeface="Arial" panose="020B0604020202020204" pitchFamily="34" charset="0"/>
            </a:rPr>
            <a:t>Return to Key</a:t>
          </a:r>
          <a:r>
            <a:rPr lang="en-NZ" sz="1400" baseline="0">
              <a:latin typeface="Arial" panose="020B0604020202020204" pitchFamily="34" charset="0"/>
              <a:cs typeface="Arial" panose="020B0604020202020204" pitchFamily="34" charset="0"/>
            </a:rPr>
            <a:t> Inputs and Outputs</a:t>
          </a:r>
          <a:endParaRPr lang="en-NZ" sz="1400">
            <a:latin typeface="Arial" panose="020B0604020202020204" pitchFamily="34" charset="0"/>
            <a:cs typeface="Arial" panose="020B0604020202020204" pitchFamily="34" charset="0"/>
          </a:endParaRP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0</xdr:col>
      <xdr:colOff>63500</xdr:colOff>
      <xdr:row>2</xdr:row>
      <xdr:rowOff>76200</xdr:rowOff>
    </xdr:from>
    <xdr:to>
      <xdr:col>1</xdr:col>
      <xdr:colOff>584200</xdr:colOff>
      <xdr:row>4</xdr:row>
      <xdr:rowOff>127000</xdr:rowOff>
    </xdr:to>
    <xdr:sp macro="" textlink="">
      <xdr:nvSpPr>
        <xdr:cNvPr id="2" name="Rectangle 1">
          <a:hlinkClick xmlns:r="http://schemas.openxmlformats.org/officeDocument/2006/relationships" r:id="rId1"/>
        </xdr:cNvPr>
        <xdr:cNvSpPr/>
      </xdr:nvSpPr>
      <xdr:spPr>
        <a:xfrm>
          <a:off x="63500" y="508000"/>
          <a:ext cx="3200400" cy="457200"/>
        </a:xfrm>
        <a:prstGeom prst="rect">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NZ" sz="1400">
              <a:latin typeface="Arial" panose="020B0604020202020204" pitchFamily="34" charset="0"/>
              <a:cs typeface="Arial" panose="020B0604020202020204" pitchFamily="34" charset="0"/>
            </a:rPr>
            <a:t>Return to Key</a:t>
          </a:r>
          <a:r>
            <a:rPr lang="en-NZ" sz="1400" baseline="0">
              <a:latin typeface="Arial" panose="020B0604020202020204" pitchFamily="34" charset="0"/>
              <a:cs typeface="Arial" panose="020B0604020202020204" pitchFamily="34" charset="0"/>
            </a:rPr>
            <a:t> Inputs and Outputs</a:t>
          </a:r>
          <a:endParaRPr lang="en-NZ" sz="1400">
            <a:latin typeface="Arial" panose="020B0604020202020204" pitchFamily="34" charset="0"/>
            <a:cs typeface="Arial" panose="020B0604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0</xdr:colOff>
      <xdr:row>27</xdr:row>
      <xdr:rowOff>0</xdr:rowOff>
    </xdr:from>
    <xdr:ext cx="4427220" cy="3535680"/>
    <xdr:pic>
      <xdr:nvPicPr>
        <xdr:cNvPr id="4" name="Picture 3"/>
        <xdr:cNvPicPr>
          <a:picLocks noChangeAspect="1"/>
        </xdr:cNvPicPr>
      </xdr:nvPicPr>
      <xdr:blipFill>
        <a:blip xmlns:r="http://schemas.openxmlformats.org/officeDocument/2006/relationships" r:embed="rId1"/>
        <a:stretch>
          <a:fillRect/>
        </a:stretch>
      </xdr:blipFill>
      <xdr:spPr>
        <a:xfrm>
          <a:off x="160020" y="30533340"/>
          <a:ext cx="4427220" cy="3535680"/>
        </a:xfrm>
        <a:prstGeom prst="rect">
          <a:avLst/>
        </a:prstGeom>
      </xdr:spPr>
    </xdr:pic>
    <xdr:clientData/>
  </xdr:oneCellAnchor>
  <xdr:oneCellAnchor>
    <xdr:from>
      <xdr:col>2</xdr:col>
      <xdr:colOff>3619500</xdr:colOff>
      <xdr:row>27</xdr:row>
      <xdr:rowOff>0</xdr:rowOff>
    </xdr:from>
    <xdr:ext cx="4572000" cy="3535680"/>
    <xdr:pic>
      <xdr:nvPicPr>
        <xdr:cNvPr id="5" name="Picture 4"/>
        <xdr:cNvPicPr>
          <a:picLocks noChangeAspect="1"/>
        </xdr:cNvPicPr>
      </xdr:nvPicPr>
      <xdr:blipFill>
        <a:blip xmlns:r="http://schemas.openxmlformats.org/officeDocument/2006/relationships" r:embed="rId2"/>
        <a:stretch>
          <a:fillRect/>
        </a:stretch>
      </xdr:blipFill>
      <xdr:spPr>
        <a:xfrm>
          <a:off x="5082540" y="30533340"/>
          <a:ext cx="4572000" cy="3535680"/>
        </a:xfrm>
        <a:prstGeom prst="rect">
          <a:avLst/>
        </a:prstGeom>
      </xdr:spPr>
    </xdr:pic>
    <xdr:clientData/>
  </xdr:oneCellAnchor>
  <xdr:twoCellAnchor>
    <xdr:from>
      <xdr:col>1</xdr:col>
      <xdr:colOff>0</xdr:colOff>
      <xdr:row>1</xdr:row>
      <xdr:rowOff>0</xdr:rowOff>
    </xdr:from>
    <xdr:to>
      <xdr:col>2</xdr:col>
      <xdr:colOff>9015984</xdr:colOff>
      <xdr:row>6</xdr:row>
      <xdr:rowOff>198030</xdr:rowOff>
    </xdr:to>
    <xdr:grpSp>
      <xdr:nvGrpSpPr>
        <xdr:cNvPr id="6" name="Group 5"/>
        <xdr:cNvGrpSpPr/>
      </xdr:nvGrpSpPr>
      <xdr:grpSpPr>
        <a:xfrm>
          <a:off x="152400" y="228600"/>
          <a:ext cx="10282809" cy="1341030"/>
          <a:chOff x="152400" y="209550"/>
          <a:chExt cx="10282809" cy="1341030"/>
        </a:xfrm>
      </xdr:grpSpPr>
      <xdr:pic>
        <xdr:nvPicPr>
          <xdr:cNvPr id="7" name="Picture 6" descr="ttp://www.procurement.govt.nz/procurement/image-library/MBIE-logo.png/image"/>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400" y="228600"/>
            <a:ext cx="4550885" cy="91440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8" name="Picture 7"/>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200775" y="209550"/>
            <a:ext cx="4234434" cy="1341030"/>
          </a:xfrm>
          <a:prstGeom prst="rect">
            <a:avLst/>
          </a:prstGeom>
        </xdr:spPr>
      </xdr:pic>
    </xdr:grp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2679700</xdr:colOff>
      <xdr:row>28</xdr:row>
      <xdr:rowOff>127000</xdr:rowOff>
    </xdr:from>
    <xdr:to>
      <xdr:col>2</xdr:col>
      <xdr:colOff>5880100</xdr:colOff>
      <xdr:row>31</xdr:row>
      <xdr:rowOff>127000</xdr:rowOff>
    </xdr:to>
    <xdr:sp macro="" textlink="">
      <xdr:nvSpPr>
        <xdr:cNvPr id="4" name="Rectangle 3">
          <a:hlinkClick xmlns:r="http://schemas.openxmlformats.org/officeDocument/2006/relationships" r:id="rId1"/>
        </xdr:cNvPr>
        <xdr:cNvSpPr/>
      </xdr:nvSpPr>
      <xdr:spPr>
        <a:xfrm>
          <a:off x="4305300" y="8407400"/>
          <a:ext cx="3200400" cy="685800"/>
        </a:xfrm>
        <a:prstGeom prst="rect">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400">
              <a:latin typeface="Arial" charset="0"/>
              <a:ea typeface="Arial" charset="0"/>
              <a:cs typeface="Arial" charset="0"/>
            </a:rPr>
            <a:t>Select</a:t>
          </a:r>
          <a:r>
            <a:rPr lang="en-US" sz="1400" baseline="0">
              <a:latin typeface="Arial" charset="0"/>
              <a:ea typeface="Arial" charset="0"/>
              <a:cs typeface="Arial" charset="0"/>
            </a:rPr>
            <a:t> </a:t>
          </a:r>
          <a:r>
            <a:rPr lang="en-US" sz="1400">
              <a:latin typeface="Arial" charset="0"/>
              <a:ea typeface="Arial" charset="0"/>
              <a:cs typeface="Arial" charset="0"/>
            </a:rPr>
            <a:t>Financial </a:t>
          </a:r>
          <a:r>
            <a:rPr lang="en-US" sz="1400" baseline="0">
              <a:latin typeface="Arial" charset="0"/>
              <a:ea typeface="Arial" charset="0"/>
              <a:cs typeface="Arial" charset="0"/>
            </a:rPr>
            <a:t>Assumptions</a:t>
          </a:r>
        </a:p>
      </xdr:txBody>
    </xdr:sp>
    <xdr:clientData/>
  </xdr:twoCellAnchor>
  <xdr:twoCellAnchor>
    <xdr:from>
      <xdr:col>2</xdr:col>
      <xdr:colOff>774700</xdr:colOff>
      <xdr:row>32</xdr:row>
      <xdr:rowOff>0</xdr:rowOff>
    </xdr:from>
    <xdr:to>
      <xdr:col>2</xdr:col>
      <xdr:colOff>3975100</xdr:colOff>
      <xdr:row>35</xdr:row>
      <xdr:rowOff>0</xdr:rowOff>
    </xdr:to>
    <xdr:sp macro="" textlink="">
      <xdr:nvSpPr>
        <xdr:cNvPr id="5" name="Rectangle 4">
          <a:hlinkClick xmlns:r="http://schemas.openxmlformats.org/officeDocument/2006/relationships" r:id="rId2"/>
        </xdr:cNvPr>
        <xdr:cNvSpPr/>
      </xdr:nvSpPr>
      <xdr:spPr>
        <a:xfrm>
          <a:off x="2400300" y="9194800"/>
          <a:ext cx="3200400" cy="685800"/>
        </a:xfrm>
        <a:prstGeom prst="rect">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400">
              <a:latin typeface="Arial" charset="0"/>
              <a:ea typeface="Arial" charset="0"/>
              <a:cs typeface="Arial" charset="0"/>
            </a:rPr>
            <a:t>Analyse</a:t>
          </a:r>
          <a:r>
            <a:rPr lang="en-US" sz="1400" baseline="0">
              <a:latin typeface="Arial" charset="0"/>
              <a:ea typeface="Arial" charset="0"/>
              <a:cs typeface="Arial" charset="0"/>
            </a:rPr>
            <a:t> feasibility of land development (Model 1)</a:t>
          </a:r>
        </a:p>
      </xdr:txBody>
    </xdr:sp>
    <xdr:clientData/>
  </xdr:twoCellAnchor>
  <xdr:twoCellAnchor>
    <xdr:from>
      <xdr:col>2</xdr:col>
      <xdr:colOff>4673600</xdr:colOff>
      <xdr:row>32</xdr:row>
      <xdr:rowOff>0</xdr:rowOff>
    </xdr:from>
    <xdr:to>
      <xdr:col>2</xdr:col>
      <xdr:colOff>7874000</xdr:colOff>
      <xdr:row>35</xdr:row>
      <xdr:rowOff>0</xdr:rowOff>
    </xdr:to>
    <xdr:sp macro="" textlink="">
      <xdr:nvSpPr>
        <xdr:cNvPr id="6" name="Rectangle 5">
          <a:hlinkClick xmlns:r="http://schemas.openxmlformats.org/officeDocument/2006/relationships" r:id="rId3"/>
        </xdr:cNvPr>
        <xdr:cNvSpPr/>
      </xdr:nvSpPr>
      <xdr:spPr>
        <a:xfrm>
          <a:off x="6299200" y="9194800"/>
          <a:ext cx="3200400" cy="685800"/>
        </a:xfrm>
        <a:prstGeom prst="rect">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400">
              <a:latin typeface="Arial" charset="0"/>
              <a:ea typeface="Arial" charset="0"/>
              <a:cs typeface="Arial" charset="0"/>
            </a:rPr>
            <a:t>Analyse</a:t>
          </a:r>
          <a:r>
            <a:rPr lang="en-US" sz="1400" baseline="0">
              <a:latin typeface="Arial" charset="0"/>
              <a:ea typeface="Arial" charset="0"/>
              <a:cs typeface="Arial" charset="0"/>
            </a:rPr>
            <a:t> feasibility of building development (Model 2)</a:t>
          </a:r>
        </a:p>
      </xdr:txBody>
    </xdr:sp>
    <xdr:clientData/>
  </xdr:twoCellAnchor>
  <xdr:twoCellAnchor>
    <xdr:from>
      <xdr:col>1</xdr:col>
      <xdr:colOff>0</xdr:colOff>
      <xdr:row>1</xdr:row>
      <xdr:rowOff>0</xdr:rowOff>
    </xdr:from>
    <xdr:to>
      <xdr:col>2</xdr:col>
      <xdr:colOff>9015984</xdr:colOff>
      <xdr:row>6</xdr:row>
      <xdr:rowOff>198030</xdr:rowOff>
    </xdr:to>
    <xdr:grpSp>
      <xdr:nvGrpSpPr>
        <xdr:cNvPr id="7" name="Group 6"/>
        <xdr:cNvGrpSpPr/>
      </xdr:nvGrpSpPr>
      <xdr:grpSpPr>
        <a:xfrm>
          <a:off x="152400" y="228600"/>
          <a:ext cx="10282809" cy="1341030"/>
          <a:chOff x="152400" y="209550"/>
          <a:chExt cx="10282809" cy="1341030"/>
        </a:xfrm>
      </xdr:grpSpPr>
      <xdr:pic>
        <xdr:nvPicPr>
          <xdr:cNvPr id="8" name="Picture 7" descr="ttp://www.procurement.govt.nz/procurement/image-library/MBIE-logo.png/image"/>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2400" y="228600"/>
            <a:ext cx="4550885" cy="91440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9" name="Picture 8"/>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6200775" y="209550"/>
            <a:ext cx="4234434" cy="1341030"/>
          </a:xfrm>
          <a:prstGeom prst="rect">
            <a:avLst/>
          </a:prstGeom>
        </xdr:spPr>
      </xdr:pic>
    </xdr:grp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736600</xdr:colOff>
      <xdr:row>4</xdr:row>
      <xdr:rowOff>114300</xdr:rowOff>
    </xdr:from>
    <xdr:to>
      <xdr:col>11</xdr:col>
      <xdr:colOff>50800</xdr:colOff>
      <xdr:row>23</xdr:row>
      <xdr:rowOff>152400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0</xdr:colOff>
      <xdr:row>25</xdr:row>
      <xdr:rowOff>0</xdr:rowOff>
    </xdr:from>
    <xdr:to>
      <xdr:col>11</xdr:col>
      <xdr:colOff>190500</xdr:colOff>
      <xdr:row>44</xdr:row>
      <xdr:rowOff>38100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0.13056</cdr:x>
      <cdr:y>0.375</cdr:y>
    </cdr:from>
    <cdr:to>
      <cdr:x>0.86944</cdr:x>
      <cdr:y>0.375</cdr:y>
    </cdr:to>
    <cdr:cxnSp macro="">
      <cdr:nvCxnSpPr>
        <cdr:cNvPr id="3" name="Straight Connector 2"/>
        <cdr:cNvCxnSpPr/>
      </cdr:nvCxnSpPr>
      <cdr:spPr>
        <a:xfrm xmlns:a="http://schemas.openxmlformats.org/drawingml/2006/main">
          <a:off x="596900" y="1371600"/>
          <a:ext cx="3378200" cy="0"/>
        </a:xfrm>
        <a:prstGeom xmlns:a="http://schemas.openxmlformats.org/drawingml/2006/main" prst="line">
          <a:avLst/>
        </a:prstGeom>
        <a:ln xmlns:a="http://schemas.openxmlformats.org/drawingml/2006/main">
          <a:prstDash val="dash"/>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0.43889</cdr:x>
      <cdr:y>0.44097</cdr:y>
    </cdr:from>
    <cdr:to>
      <cdr:x>0.86944</cdr:x>
      <cdr:y>0.44097</cdr:y>
    </cdr:to>
    <cdr:cxnSp macro="">
      <cdr:nvCxnSpPr>
        <cdr:cNvPr id="4" name="Straight Connector 3"/>
        <cdr:cNvCxnSpPr/>
      </cdr:nvCxnSpPr>
      <cdr:spPr>
        <a:xfrm xmlns:a="http://schemas.openxmlformats.org/drawingml/2006/main">
          <a:off x="2006600" y="1612900"/>
          <a:ext cx="1968500" cy="0"/>
        </a:xfrm>
        <a:prstGeom xmlns:a="http://schemas.openxmlformats.org/drawingml/2006/main" prst="line">
          <a:avLst/>
        </a:prstGeom>
        <a:ln xmlns:a="http://schemas.openxmlformats.org/drawingml/2006/main">
          <a:prstDash val="dash"/>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0.68056</cdr:x>
      <cdr:y>0.53819</cdr:y>
    </cdr:from>
    <cdr:to>
      <cdr:x>0.84722</cdr:x>
      <cdr:y>0.67014</cdr:y>
    </cdr:to>
    <cdr:sp macro="" textlink="">
      <cdr:nvSpPr>
        <cdr:cNvPr id="8" name="TextBox 7"/>
        <cdr:cNvSpPr txBox="1"/>
      </cdr:nvSpPr>
      <cdr:spPr>
        <a:xfrm xmlns:a="http://schemas.openxmlformats.org/drawingml/2006/main">
          <a:off x="3318955" y="1968484"/>
          <a:ext cx="812767" cy="48261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US" sz="1200">
              <a:latin typeface="Arial" charset="0"/>
              <a:ea typeface="Arial" charset="0"/>
              <a:cs typeface="Arial" charset="0"/>
            </a:rPr>
            <a:t>Positive value</a:t>
          </a:r>
        </a:p>
      </cdr:txBody>
    </cdr:sp>
  </cdr:relSizeAnchor>
  <cdr:relSizeAnchor xmlns:cdr="http://schemas.openxmlformats.org/drawingml/2006/chartDrawing">
    <cdr:from>
      <cdr:x>0.76111</cdr:x>
      <cdr:y>0.45139</cdr:y>
    </cdr:from>
    <cdr:to>
      <cdr:x>0.78889</cdr:x>
      <cdr:y>0.52778</cdr:y>
    </cdr:to>
    <cdr:cxnSp macro="">
      <cdr:nvCxnSpPr>
        <cdr:cNvPr id="10" name="Straight Arrow Connector 9"/>
        <cdr:cNvCxnSpPr/>
      </cdr:nvCxnSpPr>
      <cdr:spPr>
        <a:xfrm xmlns:a="http://schemas.openxmlformats.org/drawingml/2006/main" flipV="1">
          <a:off x="3479800" y="1651000"/>
          <a:ext cx="127000" cy="279400"/>
        </a:xfrm>
        <a:prstGeom xmlns:a="http://schemas.openxmlformats.org/drawingml/2006/main" prst="straightConnector1">
          <a:avLst/>
        </a:prstGeom>
        <a:ln xmlns:a="http://schemas.openxmlformats.org/drawingml/2006/main">
          <a:tailEnd type="triangle"/>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userShapes>
</file>

<file path=xl/drawings/drawing6.xml><?xml version="1.0" encoding="utf-8"?>
<c:userShapes xmlns:c="http://schemas.openxmlformats.org/drawingml/2006/chart">
  <cdr:relSizeAnchor xmlns:cdr="http://schemas.openxmlformats.org/drawingml/2006/chartDrawing">
    <cdr:from>
      <cdr:x>0.13056</cdr:x>
      <cdr:y>0.40625</cdr:y>
    </cdr:from>
    <cdr:to>
      <cdr:x>0.86944</cdr:x>
      <cdr:y>0.40625</cdr:y>
    </cdr:to>
    <cdr:cxnSp macro="">
      <cdr:nvCxnSpPr>
        <cdr:cNvPr id="2" name="Straight Connector 1"/>
        <cdr:cNvCxnSpPr/>
      </cdr:nvCxnSpPr>
      <cdr:spPr>
        <a:xfrm xmlns:a="http://schemas.openxmlformats.org/drawingml/2006/main">
          <a:off x="596900" y="1485900"/>
          <a:ext cx="3378200" cy="0"/>
        </a:xfrm>
        <a:prstGeom xmlns:a="http://schemas.openxmlformats.org/drawingml/2006/main" prst="line">
          <a:avLst/>
        </a:prstGeom>
        <a:ln xmlns:a="http://schemas.openxmlformats.org/drawingml/2006/main">
          <a:prstDash val="dash"/>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0.43889</cdr:x>
      <cdr:y>0.36806</cdr:y>
    </cdr:from>
    <cdr:to>
      <cdr:x>0.86944</cdr:x>
      <cdr:y>0.36806</cdr:y>
    </cdr:to>
    <cdr:cxnSp macro="">
      <cdr:nvCxnSpPr>
        <cdr:cNvPr id="3" name="Straight Connector 2"/>
        <cdr:cNvCxnSpPr/>
      </cdr:nvCxnSpPr>
      <cdr:spPr>
        <a:xfrm xmlns:a="http://schemas.openxmlformats.org/drawingml/2006/main">
          <a:off x="2006600" y="1346200"/>
          <a:ext cx="1968500" cy="0"/>
        </a:xfrm>
        <a:prstGeom xmlns:a="http://schemas.openxmlformats.org/drawingml/2006/main" prst="line">
          <a:avLst/>
        </a:prstGeom>
        <a:ln xmlns:a="http://schemas.openxmlformats.org/drawingml/2006/main">
          <a:prstDash val="dash"/>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0.69722</cdr:x>
      <cdr:y>0.52778</cdr:y>
    </cdr:from>
    <cdr:to>
      <cdr:x>0.87778</cdr:x>
      <cdr:y>0.65278</cdr:y>
    </cdr:to>
    <cdr:sp macro="" textlink="">
      <cdr:nvSpPr>
        <cdr:cNvPr id="4" name="TextBox 3"/>
        <cdr:cNvSpPr txBox="1"/>
      </cdr:nvSpPr>
      <cdr:spPr>
        <a:xfrm xmlns:a="http://schemas.openxmlformats.org/drawingml/2006/main">
          <a:off x="3364784" y="1930408"/>
          <a:ext cx="871382" cy="45719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1200">
              <a:latin typeface="Arial" charset="0"/>
              <a:ea typeface="Arial" charset="0"/>
              <a:cs typeface="Arial" charset="0"/>
            </a:rPr>
            <a:t>Negative</a:t>
          </a:r>
          <a:r>
            <a:rPr lang="en-US" sz="1200" baseline="0">
              <a:latin typeface="Arial" charset="0"/>
              <a:ea typeface="Arial" charset="0"/>
              <a:cs typeface="Arial" charset="0"/>
            </a:rPr>
            <a:t> value</a:t>
          </a:r>
          <a:endParaRPr lang="en-US" sz="1200">
            <a:latin typeface="Arial" charset="0"/>
            <a:ea typeface="Arial" charset="0"/>
            <a:cs typeface="Arial" charset="0"/>
          </a:endParaRPr>
        </a:p>
      </cdr:txBody>
    </cdr:sp>
  </cdr:relSizeAnchor>
  <cdr:relSizeAnchor xmlns:cdr="http://schemas.openxmlformats.org/drawingml/2006/chartDrawing">
    <cdr:from>
      <cdr:x>0.78611</cdr:x>
      <cdr:y>0.42361</cdr:y>
    </cdr:from>
    <cdr:to>
      <cdr:x>0.81111</cdr:x>
      <cdr:y>0.52431</cdr:y>
    </cdr:to>
    <cdr:cxnSp macro="">
      <cdr:nvCxnSpPr>
        <cdr:cNvPr id="6" name="Straight Arrow Connector 5"/>
        <cdr:cNvCxnSpPr/>
      </cdr:nvCxnSpPr>
      <cdr:spPr>
        <a:xfrm xmlns:a="http://schemas.openxmlformats.org/drawingml/2006/main" flipV="1">
          <a:off x="3594100" y="1549400"/>
          <a:ext cx="114300" cy="368300"/>
        </a:xfrm>
        <a:prstGeom xmlns:a="http://schemas.openxmlformats.org/drawingml/2006/main" prst="straightConnector1">
          <a:avLst/>
        </a:prstGeom>
        <a:ln xmlns:a="http://schemas.openxmlformats.org/drawingml/2006/main">
          <a:tailEnd type="triangle"/>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userShapes>
</file>

<file path=xl/drawings/drawing7.xml><?xml version="1.0" encoding="utf-8"?>
<xdr:wsDr xmlns:xdr="http://schemas.openxmlformats.org/drawingml/2006/spreadsheetDrawing" xmlns:a="http://schemas.openxmlformats.org/drawingml/2006/main">
  <xdr:twoCellAnchor>
    <xdr:from>
      <xdr:col>0</xdr:col>
      <xdr:colOff>101600</xdr:colOff>
      <xdr:row>3</xdr:row>
      <xdr:rowOff>63500</xdr:rowOff>
    </xdr:from>
    <xdr:to>
      <xdr:col>1</xdr:col>
      <xdr:colOff>1816100</xdr:colOff>
      <xdr:row>5</xdr:row>
      <xdr:rowOff>114300</xdr:rowOff>
    </xdr:to>
    <xdr:sp macro="" textlink="">
      <xdr:nvSpPr>
        <xdr:cNvPr id="2" name="Rectangle 1">
          <a:hlinkClick xmlns:r="http://schemas.openxmlformats.org/officeDocument/2006/relationships" r:id="rId1"/>
        </xdr:cNvPr>
        <xdr:cNvSpPr/>
      </xdr:nvSpPr>
      <xdr:spPr>
        <a:xfrm>
          <a:off x="101600" y="673100"/>
          <a:ext cx="3200400" cy="457200"/>
        </a:xfrm>
        <a:prstGeom prst="rect">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400">
              <a:latin typeface="Arial" charset="0"/>
              <a:ea typeface="Arial" charset="0"/>
              <a:cs typeface="Arial" charset="0"/>
            </a:rPr>
            <a:t>Return to 'Getting</a:t>
          </a:r>
          <a:r>
            <a:rPr lang="en-US" sz="1400" baseline="0">
              <a:latin typeface="Arial" charset="0"/>
              <a:ea typeface="Arial" charset="0"/>
              <a:cs typeface="Arial" charset="0"/>
            </a:rPr>
            <a:t> Started'</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4</xdr:col>
      <xdr:colOff>495300</xdr:colOff>
      <xdr:row>23</xdr:row>
      <xdr:rowOff>50800</xdr:rowOff>
    </xdr:from>
    <xdr:to>
      <xdr:col>8</xdr:col>
      <xdr:colOff>596900</xdr:colOff>
      <xdr:row>23</xdr:row>
      <xdr:rowOff>325120</xdr:rowOff>
    </xdr:to>
    <xdr:sp macro="" textlink="">
      <xdr:nvSpPr>
        <xdr:cNvPr id="3" name="Rectangle 2">
          <a:hlinkClick xmlns:r="http://schemas.openxmlformats.org/officeDocument/2006/relationships" r:id="rId1"/>
        </xdr:cNvPr>
        <xdr:cNvSpPr/>
      </xdr:nvSpPr>
      <xdr:spPr>
        <a:xfrm>
          <a:off x="5422900" y="4953000"/>
          <a:ext cx="4572000" cy="274320"/>
        </a:xfrm>
        <a:prstGeom prst="rect">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NZ" sz="1400">
              <a:latin typeface="Arial" panose="020B0604020202020204" pitchFamily="34" charset="0"/>
              <a:cs typeface="Arial" panose="020B0604020202020204" pitchFamily="34" charset="0"/>
            </a:rPr>
            <a:t>Select</a:t>
          </a:r>
          <a:r>
            <a:rPr lang="en-NZ" sz="1400" baseline="0">
              <a:latin typeface="Arial" panose="020B0604020202020204" pitchFamily="34" charset="0"/>
              <a:cs typeface="Arial" panose="020B0604020202020204" pitchFamily="34" charset="0"/>
            </a:rPr>
            <a:t> civil works costs</a:t>
          </a:r>
          <a:endParaRPr lang="en-NZ" sz="1400">
            <a:latin typeface="Arial" panose="020B0604020202020204" pitchFamily="34" charset="0"/>
            <a:cs typeface="Arial" panose="020B0604020202020204" pitchFamily="34" charset="0"/>
          </a:endParaRPr>
        </a:p>
      </xdr:txBody>
    </xdr:sp>
    <xdr:clientData/>
  </xdr:twoCellAnchor>
  <xdr:twoCellAnchor>
    <xdr:from>
      <xdr:col>4</xdr:col>
      <xdr:colOff>495300</xdr:colOff>
      <xdr:row>24</xdr:row>
      <xdr:rowOff>50800</xdr:rowOff>
    </xdr:from>
    <xdr:to>
      <xdr:col>8</xdr:col>
      <xdr:colOff>596900</xdr:colOff>
      <xdr:row>24</xdr:row>
      <xdr:rowOff>325120</xdr:rowOff>
    </xdr:to>
    <xdr:sp macro="" textlink="">
      <xdr:nvSpPr>
        <xdr:cNvPr id="4" name="Rectangle 3">
          <a:hlinkClick xmlns:r="http://schemas.openxmlformats.org/officeDocument/2006/relationships" r:id="rId2"/>
        </xdr:cNvPr>
        <xdr:cNvSpPr/>
      </xdr:nvSpPr>
      <xdr:spPr>
        <a:xfrm>
          <a:off x="5422900" y="5321300"/>
          <a:ext cx="4572000" cy="274320"/>
        </a:xfrm>
        <a:prstGeom prst="rect">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NZ" sz="1400">
              <a:latin typeface="Arial" panose="020B0604020202020204" pitchFamily="34" charset="0"/>
              <a:cs typeface="Arial" panose="020B0604020202020204" pitchFamily="34" charset="0"/>
            </a:rPr>
            <a:t>Select</a:t>
          </a:r>
          <a:r>
            <a:rPr lang="en-NZ" sz="1400" baseline="0">
              <a:latin typeface="Arial" panose="020B0604020202020204" pitchFamily="34" charset="0"/>
              <a:cs typeface="Arial" panose="020B0604020202020204" pitchFamily="34" charset="0"/>
            </a:rPr>
            <a:t> fees and charges</a:t>
          </a:r>
          <a:endParaRPr lang="en-NZ" sz="1400">
            <a:latin typeface="Arial" panose="020B0604020202020204" pitchFamily="34" charset="0"/>
            <a:cs typeface="Arial" panose="020B0604020202020204" pitchFamily="34" charset="0"/>
          </a:endParaRPr>
        </a:p>
      </xdr:txBody>
    </xdr:sp>
    <xdr:clientData/>
  </xdr:twoCellAnchor>
  <xdr:twoCellAnchor>
    <xdr:from>
      <xdr:col>6</xdr:col>
      <xdr:colOff>0</xdr:colOff>
      <xdr:row>2</xdr:row>
      <xdr:rowOff>0</xdr:rowOff>
    </xdr:from>
    <xdr:to>
      <xdr:col>8</xdr:col>
      <xdr:colOff>965200</xdr:colOff>
      <xdr:row>3</xdr:row>
      <xdr:rowOff>0</xdr:rowOff>
    </xdr:to>
    <xdr:sp macro="" textlink="">
      <xdr:nvSpPr>
        <xdr:cNvPr id="6" name="Rectangle 5">
          <a:hlinkClick xmlns:r="http://schemas.openxmlformats.org/officeDocument/2006/relationships" r:id="rId3"/>
        </xdr:cNvPr>
        <xdr:cNvSpPr/>
      </xdr:nvSpPr>
      <xdr:spPr>
        <a:xfrm>
          <a:off x="7188200" y="457200"/>
          <a:ext cx="3200400" cy="457200"/>
        </a:xfrm>
        <a:prstGeom prst="rect">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400">
              <a:latin typeface="Arial" charset="0"/>
              <a:ea typeface="Arial" charset="0"/>
              <a:cs typeface="Arial" charset="0"/>
            </a:rPr>
            <a:t>Return to 'Getting</a:t>
          </a:r>
          <a:r>
            <a:rPr lang="en-US" sz="1400" baseline="0">
              <a:latin typeface="Arial" charset="0"/>
              <a:ea typeface="Arial" charset="0"/>
              <a:cs typeface="Arial" charset="0"/>
            </a:rPr>
            <a:t> Started'</a:t>
          </a:r>
        </a:p>
      </xdr:txBody>
    </xdr:sp>
    <xdr:clientData/>
  </xdr:twoCellAnchor>
  <xdr:twoCellAnchor>
    <xdr:from>
      <xdr:col>6</xdr:col>
      <xdr:colOff>0</xdr:colOff>
      <xdr:row>16</xdr:row>
      <xdr:rowOff>139700</xdr:rowOff>
    </xdr:from>
    <xdr:to>
      <xdr:col>8</xdr:col>
      <xdr:colOff>965200</xdr:colOff>
      <xdr:row>18</xdr:row>
      <xdr:rowOff>7620</xdr:rowOff>
    </xdr:to>
    <xdr:sp macro="" textlink="">
      <xdr:nvSpPr>
        <xdr:cNvPr id="9" name="Rectangle 8">
          <a:hlinkClick xmlns:r="http://schemas.openxmlformats.org/officeDocument/2006/relationships" r:id="rId4"/>
        </xdr:cNvPr>
        <xdr:cNvSpPr/>
      </xdr:nvSpPr>
      <xdr:spPr>
        <a:xfrm>
          <a:off x="8001000" y="3492500"/>
          <a:ext cx="3225800" cy="274320"/>
        </a:xfrm>
        <a:prstGeom prst="rect">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NZ" sz="1400">
              <a:latin typeface="Arial" panose="020B0604020202020204" pitchFamily="34" charset="0"/>
              <a:cs typeface="Arial" panose="020B0604020202020204" pitchFamily="34" charset="0"/>
            </a:rPr>
            <a:t>View modelled section price gradient</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63500</xdr:colOff>
      <xdr:row>3</xdr:row>
      <xdr:rowOff>12700</xdr:rowOff>
    </xdr:from>
    <xdr:to>
      <xdr:col>2</xdr:col>
      <xdr:colOff>482600</xdr:colOff>
      <xdr:row>5</xdr:row>
      <xdr:rowOff>50800</xdr:rowOff>
    </xdr:to>
    <xdr:sp macro="" textlink="">
      <xdr:nvSpPr>
        <xdr:cNvPr id="2" name="Rectangle 1">
          <a:hlinkClick xmlns:r="http://schemas.openxmlformats.org/officeDocument/2006/relationships" r:id="rId1"/>
        </xdr:cNvPr>
        <xdr:cNvSpPr/>
      </xdr:nvSpPr>
      <xdr:spPr>
        <a:xfrm>
          <a:off x="63500" y="647700"/>
          <a:ext cx="3200400" cy="457200"/>
        </a:xfrm>
        <a:prstGeom prst="rect">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NZ" sz="1400">
              <a:latin typeface="Arial" panose="020B0604020202020204" pitchFamily="34" charset="0"/>
              <a:cs typeface="Arial" panose="020B0604020202020204" pitchFamily="34" charset="0"/>
            </a:rPr>
            <a:t>Return to Key</a:t>
          </a:r>
          <a:r>
            <a:rPr lang="en-NZ" sz="1400" baseline="0">
              <a:latin typeface="Arial" panose="020B0604020202020204" pitchFamily="34" charset="0"/>
              <a:cs typeface="Arial" panose="020B0604020202020204" pitchFamily="34" charset="0"/>
            </a:rPr>
            <a:t> Inputs and Outputs</a:t>
          </a:r>
          <a:endParaRPr lang="en-NZ" sz="1400">
            <a:latin typeface="Arial" panose="020B0604020202020204" pitchFamily="34" charset="0"/>
            <a:cs typeface="Arial" panose="020B0604020202020204" pitchFamily="34" charset="0"/>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peternunns\Documents\6%20MRCagney%20-%20work\4%20Projects\Auckland%20Transport\NWRTC%20IBC\4.%20Short%20list%20assessment\Economic%20analysis\C:\Users\peternunns\Downloads\Green%20Square%20LRT%20cost%20benefit%20analysis%20v6%20pc.xls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MARCO%20V1.xlsm"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LaneTestInter.xls"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MARCO%20Output%202026%20ETC%20V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luation parameters"/>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SPLAY"/>
      <sheetName val="Run Spec"/>
      <sheetName val="Log"/>
      <sheetName val="Schematic"/>
      <sheetName val="Schematic Table"/>
      <sheetName val="Path Data"/>
      <sheetName val="Crowd Factors"/>
      <sheetName val="To Do"/>
      <sheetName val="Parameters"/>
      <sheetName val="Path Data 2"/>
      <sheetName val="Path Data (2)"/>
      <sheetName val="Schematic (2)"/>
      <sheetName val="Display Parameters 1"/>
      <sheetName val="Display Parameters 2"/>
      <sheetName val="Colours"/>
      <sheetName val="Scratch"/>
      <sheetName val="DUMP"/>
      <sheetName val="Sheet2"/>
      <sheetName val="MARCO V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splay"/>
      <sheetName val="Drawing"/>
      <sheetName val="Veh Data"/>
      <sheetName val="Road Data"/>
      <sheetName val="Intersection Data"/>
      <sheetName val="Service Data"/>
      <sheetName val="Signal Timing Data"/>
      <sheetName val="Route Data"/>
      <sheetName val="Lane Distribution"/>
      <sheetName val="Rank Data"/>
      <sheetName val="Vehicle Type Data"/>
      <sheetName val="Arrival Data"/>
      <sheetName val="Turn Data"/>
      <sheetName val="Sched Adj"/>
      <sheetName val="Other Data"/>
      <sheetName val="Graphics"/>
      <sheetName val="Signal Appr Data"/>
      <sheetName val="Full Service Output"/>
      <sheetName val="Notes"/>
      <sheetName val="Schedule"/>
      <sheetName val="platforms"/>
      <sheetName val="Output"/>
      <sheetName val="Animat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STATION OUTPUT..."/>
      <sheetName val="Station Output"/>
      <sheetName val="Summary 1"/>
      <sheetName val="Trip Summary TEMPLATE"/>
      <sheetName val="SERVICE OUTPUT..."/>
      <sheetName val="Service Output"/>
      <sheetName val="Service by Station"/>
      <sheetName val="Service by Link"/>
      <sheetName val="Service Summary"/>
      <sheetName val="GSq Up"/>
      <sheetName val="GSq Dn"/>
      <sheetName val="Chart 2"/>
      <sheetName val="Chart 3"/>
      <sheetName val="ZONE OUTPUT..."/>
      <sheetName val="Zone Output"/>
      <sheetName val="Zone OD"/>
      <sheetName val="Select Link"/>
    </sheetNames>
    <sheetDataSet>
      <sheetData sheetId="0"/>
      <sheetData sheetId="1"/>
      <sheetData sheetId="2"/>
      <sheetData sheetId="3"/>
      <sheetData sheetId="4"/>
      <sheetData sheetId="5"/>
      <sheetData sheetId="6"/>
      <sheetData sheetId="7"/>
      <sheetData sheetId="8"/>
      <sheetData sheetId="9">
        <row r="5">
          <cell r="UB5" t="str">
            <v>Green Square to Central</v>
          </cell>
        </row>
      </sheetData>
      <sheetData sheetId="10"/>
      <sheetData sheetId="11"/>
      <sheetData sheetId="12"/>
      <sheetData sheetId="13"/>
      <sheetData sheetId="14"/>
      <sheetData sheetId="15"/>
      <sheetData sheetId="16"/>
      <sheetData sheetId="1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package" Target="../embeddings/Microsoft_Word_Document1.docx"/></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4.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5.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6.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1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enableFormatConditionsCalculation="0">
    <tabColor theme="1"/>
  </sheetPr>
  <dimension ref="A1:D75"/>
  <sheetViews>
    <sheetView showGridLines="0" tabSelected="1" workbookViewId="0">
      <selection activeCell="B1" sqref="B1"/>
    </sheetView>
  </sheetViews>
  <sheetFormatPr defaultColWidth="8.88671875" defaultRowHeight="17.399999999999999" x14ac:dyDescent="0.3"/>
  <cols>
    <col min="1" max="1" width="2.33203125" style="3" customWidth="1"/>
    <col min="2" max="2" width="19" style="3" customWidth="1"/>
    <col min="3" max="3" width="135.88671875" style="3" customWidth="1"/>
    <col min="4" max="4" width="2" style="3" customWidth="1"/>
    <col min="5" max="16384" width="8.88671875" style="3"/>
  </cols>
  <sheetData>
    <row r="1" spans="1:4" x14ac:dyDescent="0.3">
      <c r="A1" s="2"/>
      <c r="B1" s="2"/>
      <c r="C1" s="2"/>
      <c r="D1" s="2"/>
    </row>
    <row r="2" spans="1:4" x14ac:dyDescent="0.3">
      <c r="A2" s="2"/>
      <c r="B2" s="2"/>
      <c r="C2" s="2"/>
      <c r="D2" s="2"/>
    </row>
    <row r="3" spans="1:4" x14ac:dyDescent="0.3">
      <c r="A3" s="2"/>
      <c r="B3" s="2"/>
      <c r="C3" s="2"/>
      <c r="D3" s="2"/>
    </row>
    <row r="4" spans="1:4" x14ac:dyDescent="0.3">
      <c r="A4" s="2"/>
      <c r="B4" s="2"/>
      <c r="C4" s="2"/>
      <c r="D4" s="2"/>
    </row>
    <row r="5" spans="1:4" x14ac:dyDescent="0.3">
      <c r="A5" s="2"/>
      <c r="B5" s="2"/>
      <c r="C5" s="2"/>
      <c r="D5" s="2"/>
    </row>
    <row r="6" spans="1:4" x14ac:dyDescent="0.3">
      <c r="A6" s="2"/>
      <c r="B6" s="2"/>
      <c r="C6" s="4"/>
      <c r="D6" s="2"/>
    </row>
    <row r="7" spans="1:4" x14ac:dyDescent="0.3">
      <c r="A7" s="2"/>
      <c r="B7" s="2"/>
      <c r="C7" s="2"/>
      <c r="D7" s="2"/>
    </row>
    <row r="8" spans="1:4" ht="21" x14ac:dyDescent="0.4">
      <c r="A8" s="2"/>
      <c r="B8" s="6" t="s">
        <v>78</v>
      </c>
      <c r="C8" s="2"/>
    </row>
    <row r="9" spans="1:4" ht="21" x14ac:dyDescent="0.4">
      <c r="A9" s="2"/>
      <c r="B9" s="6" t="s">
        <v>292</v>
      </c>
      <c r="C9" s="2"/>
    </row>
    <row r="10" spans="1:4" x14ac:dyDescent="0.3">
      <c r="A10" s="2"/>
      <c r="B10" s="2"/>
      <c r="C10" s="2"/>
      <c r="D10" s="2"/>
    </row>
    <row r="11" spans="1:4" ht="54" customHeight="1" x14ac:dyDescent="0.3">
      <c r="A11" s="2"/>
      <c r="B11" s="405" t="s">
        <v>312</v>
      </c>
      <c r="C11" s="405"/>
    </row>
    <row r="12" spans="1:4" ht="39" customHeight="1" x14ac:dyDescent="0.3">
      <c r="A12" s="2"/>
      <c r="B12" s="406" t="s">
        <v>313</v>
      </c>
      <c r="C12" s="406"/>
      <c r="D12" s="2"/>
    </row>
    <row r="13" spans="1:4" x14ac:dyDescent="0.3">
      <c r="A13" s="2"/>
      <c r="B13" s="2"/>
      <c r="C13" s="2"/>
      <c r="D13" s="2"/>
    </row>
    <row r="14" spans="1:4" ht="24.75" customHeight="1" x14ac:dyDescent="0.3">
      <c r="A14" s="2"/>
      <c r="B14" s="5" t="s">
        <v>293</v>
      </c>
      <c r="C14" s="2"/>
      <c r="D14" s="2"/>
    </row>
    <row r="15" spans="1:4" ht="75.900000000000006" customHeight="1" x14ac:dyDescent="0.3">
      <c r="A15" s="2"/>
      <c r="B15" s="406" t="s">
        <v>314</v>
      </c>
      <c r="C15" s="406"/>
      <c r="D15" s="2"/>
    </row>
    <row r="16" spans="1:4" x14ac:dyDescent="0.3">
      <c r="A16" s="2"/>
      <c r="B16" s="407" t="s">
        <v>285</v>
      </c>
      <c r="C16" s="407"/>
      <c r="D16" s="2"/>
    </row>
    <row r="17" spans="1:4" ht="39" customHeight="1" x14ac:dyDescent="0.35">
      <c r="A17" s="2"/>
      <c r="B17" s="409" t="s">
        <v>288</v>
      </c>
      <c r="C17" s="409"/>
      <c r="D17" s="2"/>
    </row>
    <row r="18" spans="1:4" ht="93" customHeight="1" x14ac:dyDescent="0.3">
      <c r="A18" s="2"/>
      <c r="B18" s="405" t="s">
        <v>297</v>
      </c>
      <c r="C18" s="405"/>
      <c r="D18" s="2"/>
    </row>
    <row r="19" spans="1:4" ht="37.5" customHeight="1" x14ac:dyDescent="0.3">
      <c r="A19" s="2"/>
      <c r="B19" s="405" t="s">
        <v>298</v>
      </c>
      <c r="C19" s="405"/>
      <c r="D19" s="2"/>
    </row>
    <row r="20" spans="1:4" ht="23.4" customHeight="1" x14ac:dyDescent="0.3">
      <c r="A20" s="2"/>
      <c r="B20" s="12" t="s">
        <v>311</v>
      </c>
      <c r="C20" s="337"/>
      <c r="D20" s="2"/>
    </row>
    <row r="21" spans="1:4" x14ac:dyDescent="0.3">
      <c r="A21" s="2"/>
      <c r="B21" s="408" t="s">
        <v>291</v>
      </c>
      <c r="C21" s="408"/>
      <c r="D21" s="2"/>
    </row>
    <row r="22" spans="1:4" ht="37.5" customHeight="1" x14ac:dyDescent="0.3">
      <c r="A22" s="2"/>
      <c r="B22" s="336"/>
      <c r="C22" s="336"/>
      <c r="D22" s="2"/>
    </row>
    <row r="23" spans="1:4" ht="37.5" customHeight="1" x14ac:dyDescent="0.3">
      <c r="A23" s="2"/>
      <c r="B23" s="336"/>
      <c r="C23" s="336"/>
      <c r="D23" s="2"/>
    </row>
    <row r="24" spans="1:4" ht="37.5" customHeight="1" x14ac:dyDescent="0.3">
      <c r="A24" s="2"/>
      <c r="B24" s="336"/>
      <c r="C24" s="336"/>
      <c r="D24" s="2"/>
    </row>
    <row r="25" spans="1:4" ht="37.5" customHeight="1" x14ac:dyDescent="0.3">
      <c r="A25" s="2"/>
      <c r="B25" s="336"/>
      <c r="C25" s="336"/>
      <c r="D25" s="2"/>
    </row>
    <row r="26" spans="1:4" ht="37.5" customHeight="1" x14ac:dyDescent="0.3">
      <c r="A26" s="2"/>
      <c r="B26" s="336"/>
      <c r="C26" s="336"/>
      <c r="D26" s="2"/>
    </row>
    <row r="27" spans="1:4" ht="37.5" customHeight="1" x14ac:dyDescent="0.3">
      <c r="A27" s="2"/>
      <c r="B27" s="336"/>
      <c r="C27" s="336"/>
      <c r="D27" s="2"/>
    </row>
    <row r="28" spans="1:4" ht="37.5" customHeight="1" x14ac:dyDescent="0.3">
      <c r="A28" s="2"/>
      <c r="B28" s="336"/>
      <c r="C28" s="336"/>
      <c r="D28" s="2"/>
    </row>
    <row r="29" spans="1:4" ht="15" customHeight="1" x14ac:dyDescent="0.3">
      <c r="A29" s="2"/>
      <c r="B29" s="336"/>
      <c r="C29" s="336"/>
      <c r="D29" s="2"/>
    </row>
    <row r="30" spans="1:4" ht="69" customHeight="1" x14ac:dyDescent="0.3">
      <c r="A30" s="2"/>
      <c r="B30" s="336"/>
      <c r="C30" s="336"/>
      <c r="D30" s="2"/>
    </row>
    <row r="31" spans="1:4" ht="78" customHeight="1" x14ac:dyDescent="0.3">
      <c r="A31" s="2"/>
      <c r="B31" s="405" t="s">
        <v>294</v>
      </c>
      <c r="C31" s="405"/>
      <c r="D31" s="2"/>
    </row>
    <row r="32" spans="1:4" ht="35.25" customHeight="1" x14ac:dyDescent="0.3">
      <c r="A32" s="2"/>
      <c r="B32" s="405" t="s">
        <v>295</v>
      </c>
      <c r="C32" s="405"/>
      <c r="D32" s="2"/>
    </row>
    <row r="33" spans="1:4" ht="54.75" customHeight="1" x14ac:dyDescent="0.3">
      <c r="A33" s="2"/>
      <c r="B33" s="405" t="s">
        <v>296</v>
      </c>
      <c r="C33" s="405"/>
      <c r="D33" s="2"/>
    </row>
    <row r="34" spans="1:4" ht="54" customHeight="1" x14ac:dyDescent="0.3">
      <c r="A34" s="2"/>
      <c r="B34" s="405" t="s">
        <v>289</v>
      </c>
      <c r="C34" s="405"/>
      <c r="D34" s="2"/>
    </row>
    <row r="35" spans="1:4" x14ac:dyDescent="0.3">
      <c r="A35" s="2"/>
      <c r="B35" s="336"/>
      <c r="C35" s="336"/>
      <c r="D35" s="2"/>
    </row>
    <row r="36" spans="1:4" ht="39" customHeight="1" x14ac:dyDescent="0.3">
      <c r="A36" s="2"/>
      <c r="B36" s="405" t="s">
        <v>286</v>
      </c>
      <c r="C36" s="405"/>
      <c r="D36" s="2"/>
    </row>
    <row r="37" spans="1:4" x14ac:dyDescent="0.3">
      <c r="A37" s="2"/>
      <c r="D37" s="2"/>
    </row>
    <row r="38" spans="1:4" x14ac:dyDescent="0.3">
      <c r="A38" s="2"/>
      <c r="B38" s="289" t="s">
        <v>287</v>
      </c>
      <c r="D38" s="2"/>
    </row>
    <row r="39" spans="1:4" ht="22.65" customHeight="1" x14ac:dyDescent="0.3">
      <c r="A39" s="2"/>
      <c r="B39" s="339" t="s">
        <v>299</v>
      </c>
      <c r="C39" s="338"/>
      <c r="D39" s="2"/>
    </row>
    <row r="40" spans="1:4" ht="96.75" customHeight="1" x14ac:dyDescent="0.3">
      <c r="A40" s="2"/>
      <c r="B40" s="405" t="s">
        <v>300</v>
      </c>
      <c r="C40" s="405"/>
      <c r="D40" s="2"/>
    </row>
    <row r="41" spans="1:4" ht="55.5" customHeight="1" x14ac:dyDescent="0.3">
      <c r="A41" s="2"/>
      <c r="B41" s="405" t="s">
        <v>301</v>
      </c>
      <c r="C41" s="405"/>
      <c r="D41" s="2"/>
    </row>
    <row r="42" spans="1:4" ht="61.5" customHeight="1" x14ac:dyDescent="0.3">
      <c r="A42" s="2"/>
      <c r="B42" s="406" t="s">
        <v>315</v>
      </c>
      <c r="C42" s="406"/>
      <c r="D42" s="2"/>
    </row>
    <row r="43" spans="1:4" x14ac:dyDescent="0.3">
      <c r="A43" s="2"/>
      <c r="B43" s="11"/>
      <c r="C43" s="340"/>
      <c r="D43" s="2"/>
    </row>
    <row r="44" spans="1:4" x14ac:dyDescent="0.3">
      <c r="A44" s="2"/>
      <c r="B44" s="11"/>
      <c r="C44" s="340"/>
      <c r="D44" s="2"/>
    </row>
    <row r="45" spans="1:4" x14ac:dyDescent="0.3">
      <c r="A45" s="2"/>
      <c r="B45" s="11"/>
      <c r="C45" s="340"/>
      <c r="D45" s="2"/>
    </row>
    <row r="46" spans="1:4" x14ac:dyDescent="0.3">
      <c r="A46" s="2"/>
      <c r="B46" s="11"/>
      <c r="C46" s="340"/>
      <c r="D46" s="2"/>
    </row>
    <row r="47" spans="1:4" x14ac:dyDescent="0.3">
      <c r="A47" s="2"/>
      <c r="B47" s="11"/>
      <c r="C47" s="340"/>
      <c r="D47" s="2"/>
    </row>
    <row r="48" spans="1:4" x14ac:dyDescent="0.3">
      <c r="A48" s="2"/>
      <c r="B48" s="11"/>
      <c r="C48" s="340"/>
      <c r="D48" s="2"/>
    </row>
    <row r="49" spans="1:4" x14ac:dyDescent="0.3">
      <c r="A49" s="2"/>
      <c r="B49" s="11"/>
      <c r="C49" s="340"/>
      <c r="D49" s="2"/>
    </row>
    <row r="50" spans="1:4" x14ac:dyDescent="0.3">
      <c r="A50" s="2"/>
      <c r="B50" s="11"/>
      <c r="C50" s="336"/>
      <c r="D50" s="2"/>
    </row>
    <row r="51" spans="1:4" x14ac:dyDescent="0.3">
      <c r="A51" s="2"/>
      <c r="B51" s="336"/>
      <c r="C51" s="336"/>
      <c r="D51" s="2"/>
    </row>
    <row r="52" spans="1:4" x14ac:dyDescent="0.3">
      <c r="A52" s="2"/>
      <c r="B52" s="336"/>
      <c r="C52" s="336"/>
      <c r="D52" s="2"/>
    </row>
    <row r="53" spans="1:4" x14ac:dyDescent="0.3">
      <c r="A53" s="2"/>
      <c r="B53" s="340"/>
      <c r="C53" s="340"/>
      <c r="D53" s="2"/>
    </row>
    <row r="54" spans="1:4" ht="18" customHeight="1" x14ac:dyDescent="0.3">
      <c r="A54" s="2"/>
      <c r="B54" s="5" t="s">
        <v>79</v>
      </c>
      <c r="C54" s="2"/>
      <c r="D54" s="2"/>
    </row>
    <row r="55" spans="1:4" ht="58.5" customHeight="1" x14ac:dyDescent="0.3">
      <c r="A55" s="2"/>
      <c r="B55" s="406" t="s">
        <v>104</v>
      </c>
      <c r="C55" s="406"/>
      <c r="D55" s="2"/>
    </row>
    <row r="56" spans="1:4" ht="41.1" customHeight="1" x14ac:dyDescent="0.3">
      <c r="A56" s="2"/>
      <c r="B56" s="406" t="s">
        <v>302</v>
      </c>
      <c r="C56" s="406"/>
      <c r="D56" s="2"/>
    </row>
    <row r="57" spans="1:4" ht="73.650000000000006" customHeight="1" x14ac:dyDescent="0.3">
      <c r="A57" s="2"/>
      <c r="B57" s="406" t="s">
        <v>105</v>
      </c>
      <c r="C57" s="406"/>
      <c r="D57" s="2"/>
    </row>
    <row r="58" spans="1:4" x14ac:dyDescent="0.3">
      <c r="A58" s="2"/>
      <c r="B58" s="2"/>
      <c r="C58" s="2"/>
      <c r="D58" s="2"/>
    </row>
    <row r="59" spans="1:4" x14ac:dyDescent="0.3">
      <c r="A59" s="2"/>
      <c r="B59" s="5" t="s">
        <v>80</v>
      </c>
      <c r="C59" s="2"/>
      <c r="D59" s="2"/>
    </row>
    <row r="60" spans="1:4" x14ac:dyDescent="0.3">
      <c r="A60" s="2"/>
      <c r="B60" s="2" t="s">
        <v>81</v>
      </c>
      <c r="C60" s="2"/>
      <c r="D60" s="2"/>
    </row>
    <row r="61" spans="1:4" x14ac:dyDescent="0.3">
      <c r="A61" s="2"/>
      <c r="B61" s="2"/>
      <c r="C61" s="2"/>
      <c r="D61" s="2"/>
    </row>
    <row r="62" spans="1:4" x14ac:dyDescent="0.3">
      <c r="A62" s="2"/>
      <c r="B62" s="2"/>
      <c r="C62" s="2"/>
      <c r="D62" s="2"/>
    </row>
    <row r="63" spans="1:4" x14ac:dyDescent="0.3">
      <c r="A63" s="2"/>
      <c r="B63" s="2"/>
      <c r="C63" s="2"/>
      <c r="D63" s="2"/>
    </row>
    <row r="64" spans="1:4" x14ac:dyDescent="0.3">
      <c r="A64" s="2"/>
      <c r="B64" s="2"/>
      <c r="C64" s="2"/>
      <c r="D64" s="2"/>
    </row>
    <row r="65" spans="1:4" x14ac:dyDescent="0.3">
      <c r="A65" s="2"/>
      <c r="B65" s="2"/>
      <c r="C65" s="2"/>
      <c r="D65" s="2"/>
    </row>
    <row r="66" spans="1:4" x14ac:dyDescent="0.3">
      <c r="A66" s="2"/>
      <c r="B66" s="2"/>
      <c r="C66" s="2"/>
      <c r="D66" s="2"/>
    </row>
    <row r="67" spans="1:4" x14ac:dyDescent="0.3">
      <c r="A67" s="2"/>
      <c r="B67" s="2"/>
      <c r="C67" s="2"/>
      <c r="D67" s="2"/>
    </row>
    <row r="68" spans="1:4" x14ac:dyDescent="0.3">
      <c r="A68" s="2"/>
      <c r="B68" s="2"/>
      <c r="C68" s="2"/>
      <c r="D68" s="2"/>
    </row>
    <row r="69" spans="1:4" x14ac:dyDescent="0.3">
      <c r="A69" s="2"/>
      <c r="B69" s="2"/>
      <c r="C69" s="2"/>
      <c r="D69" s="2"/>
    </row>
    <row r="70" spans="1:4" ht="41.1" customHeight="1" x14ac:dyDescent="0.3">
      <c r="A70" s="2"/>
      <c r="B70" s="406" t="s">
        <v>106</v>
      </c>
      <c r="C70" s="406"/>
      <c r="D70" s="2"/>
    </row>
    <row r="71" spans="1:4" x14ac:dyDescent="0.3">
      <c r="A71" s="2"/>
      <c r="B71" s="406" t="s">
        <v>82</v>
      </c>
      <c r="C71" s="406"/>
      <c r="D71" s="2"/>
    </row>
    <row r="72" spans="1:4" ht="40.5" customHeight="1" x14ac:dyDescent="0.3">
      <c r="A72" s="2"/>
      <c r="B72" s="406" t="s">
        <v>124</v>
      </c>
      <c r="C72" s="406"/>
      <c r="D72" s="2"/>
    </row>
    <row r="73" spans="1:4" ht="41.1" customHeight="1" x14ac:dyDescent="0.3">
      <c r="A73" s="2"/>
      <c r="B73" s="406" t="s">
        <v>125</v>
      </c>
      <c r="C73" s="406"/>
      <c r="D73" s="2"/>
    </row>
    <row r="74" spans="1:4" ht="77.25" customHeight="1" x14ac:dyDescent="0.3">
      <c r="A74" s="2"/>
      <c r="B74" s="406" t="s">
        <v>290</v>
      </c>
      <c r="C74" s="406"/>
      <c r="D74" s="2"/>
    </row>
    <row r="75" spans="1:4" x14ac:dyDescent="0.3">
      <c r="A75" s="2"/>
      <c r="B75" s="8"/>
      <c r="C75" s="8"/>
      <c r="D75" s="2"/>
    </row>
  </sheetData>
  <mergeCells count="24">
    <mergeCell ref="B42:C42"/>
    <mergeCell ref="B73:C73"/>
    <mergeCell ref="B74:C74"/>
    <mergeCell ref="B72:C72"/>
    <mergeCell ref="B55:C55"/>
    <mergeCell ref="B56:C56"/>
    <mergeCell ref="B57:C57"/>
    <mergeCell ref="B70:C70"/>
    <mergeCell ref="B71:C71"/>
    <mergeCell ref="B40:C40"/>
    <mergeCell ref="B41:C41"/>
    <mergeCell ref="B11:C11"/>
    <mergeCell ref="B12:C12"/>
    <mergeCell ref="B15:C15"/>
    <mergeCell ref="B16:C16"/>
    <mergeCell ref="B21:C21"/>
    <mergeCell ref="B18:C18"/>
    <mergeCell ref="B19:C19"/>
    <mergeCell ref="B36:C36"/>
    <mergeCell ref="B17:C17"/>
    <mergeCell ref="B31:C31"/>
    <mergeCell ref="B32:C32"/>
    <mergeCell ref="B33:C33"/>
    <mergeCell ref="B34:C34"/>
  </mergeCells>
  <pageMargins left="0.7" right="0.7" top="0.75" bottom="0.75" header="0.3" footer="0.3"/>
  <pageSetup paperSize="9" orientation="portrait" r:id="rId1"/>
  <drawing r:id="rId2"/>
  <legacyDrawing r:id="rId3"/>
  <oleObjects>
    <mc:AlternateContent xmlns:mc="http://schemas.openxmlformats.org/markup-compatibility/2006">
      <mc:Choice Requires="x14">
        <oleObject progId="Word.Document.12" shapeId="12292" r:id="rId4">
          <objectPr defaultSize="0" r:id="rId5">
            <anchor moveWithCells="1">
              <from>
                <xdr:col>1</xdr:col>
                <xdr:colOff>0</xdr:colOff>
                <xdr:row>42</xdr:row>
                <xdr:rowOff>121920</xdr:rowOff>
              </from>
              <to>
                <xdr:col>2</xdr:col>
                <xdr:colOff>4564380</xdr:colOff>
                <xdr:row>52</xdr:row>
                <xdr:rowOff>76200</xdr:rowOff>
              </to>
            </anchor>
          </objectPr>
        </oleObject>
      </mc:Choice>
      <mc:Fallback>
        <oleObject progId="Word.Document.12" shapeId="12292" r:id="rId4"/>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theme="4"/>
  </sheetPr>
  <dimension ref="A1:D35"/>
  <sheetViews>
    <sheetView showGridLines="0" workbookViewId="0">
      <selection activeCell="B21" sqref="B21"/>
    </sheetView>
  </sheetViews>
  <sheetFormatPr defaultColWidth="8.88671875" defaultRowHeight="15" x14ac:dyDescent="0.25"/>
  <cols>
    <col min="1" max="2" width="26.88671875" style="15" customWidth="1"/>
    <col min="3" max="3" width="8.6640625" style="15" bestFit="1" customWidth="1"/>
    <col min="4" max="4" width="13.44140625" style="15" bestFit="1" customWidth="1"/>
    <col min="5" max="9" width="13.44140625" style="15" customWidth="1"/>
    <col min="10" max="12" width="12.109375" style="15" bestFit="1" customWidth="1"/>
    <col min="13" max="14" width="13.33203125" style="15" bestFit="1" customWidth="1"/>
    <col min="15" max="16384" width="8.88671875" style="15"/>
  </cols>
  <sheetData>
    <row r="1" spans="1:4" x14ac:dyDescent="0.25">
      <c r="B1" s="20"/>
      <c r="C1" s="20"/>
      <c r="D1" s="28"/>
    </row>
    <row r="2" spans="1:4" ht="17.399999999999999" x14ac:dyDescent="0.3">
      <c r="A2" s="14" t="s">
        <v>138</v>
      </c>
      <c r="B2" s="20"/>
      <c r="C2" s="20"/>
      <c r="D2" s="28"/>
    </row>
    <row r="7" spans="1:4" ht="15.6" x14ac:dyDescent="0.3">
      <c r="A7" s="22" t="s">
        <v>139</v>
      </c>
      <c r="B7" s="22" t="s">
        <v>140</v>
      </c>
    </row>
    <row r="8" spans="1:4" x14ac:dyDescent="0.25">
      <c r="A8" s="38">
        <v>150</v>
      </c>
      <c r="B8" s="39">
        <f>A8^'Key Inputs &amp; Outputs (LD)'!$H$15*EXP('Key Inputs &amp; Outputs (LD)'!$H$16)</f>
        <v>141331.42310358881</v>
      </c>
    </row>
    <row r="9" spans="1:4" x14ac:dyDescent="0.25">
      <c r="A9" s="38">
        <f>A8+50</f>
        <v>200</v>
      </c>
      <c r="B9" s="39">
        <f>A9^'Key Inputs &amp; Outputs (LD)'!$H$15*EXP('Key Inputs &amp; Outputs (LD)'!$H$16)</f>
        <v>169000.00000000026</v>
      </c>
    </row>
    <row r="10" spans="1:4" x14ac:dyDescent="0.25">
      <c r="A10" s="38">
        <f t="shared" ref="A10:A35" si="0">A9+50</f>
        <v>250</v>
      </c>
      <c r="B10" s="39">
        <f>A10^'Key Inputs &amp; Outputs (LD)'!$H$15*EXP('Key Inputs &amp; Outputs (LD)'!$H$16)</f>
        <v>194140.05632519809</v>
      </c>
    </row>
    <row r="11" spans="1:4" x14ac:dyDescent="0.25">
      <c r="A11" s="38">
        <f t="shared" si="0"/>
        <v>300</v>
      </c>
      <c r="B11" s="39">
        <f>A11^'Key Inputs &amp; Outputs (LD)'!$H$15*EXP('Key Inputs &amp; Outputs (LD)'!$H$16)</f>
        <v>217432.95862090585</v>
      </c>
    </row>
    <row r="12" spans="1:4" x14ac:dyDescent="0.25">
      <c r="A12" s="38">
        <f t="shared" si="0"/>
        <v>350</v>
      </c>
      <c r="B12" s="39">
        <f>A12^'Key Inputs &amp; Outputs (LD)'!$H$15*EXP('Key Inputs &amp; Outputs (LD)'!$H$16)</f>
        <v>239294.11990992239</v>
      </c>
    </row>
    <row r="13" spans="1:4" x14ac:dyDescent="0.25">
      <c r="A13" s="38">
        <f t="shared" si="0"/>
        <v>400</v>
      </c>
      <c r="B13" s="39">
        <f>A13^'Key Inputs &amp; Outputs (LD)'!$H$15*EXP('Key Inputs &amp; Outputs (LD)'!$H$16)</f>
        <v>260000.00000000038</v>
      </c>
    </row>
    <row r="14" spans="1:4" x14ac:dyDescent="0.25">
      <c r="A14" s="38">
        <f t="shared" si="0"/>
        <v>450</v>
      </c>
      <c r="B14" s="39">
        <f>A14^'Key Inputs &amp; Outputs (LD)'!$H$15*EXP('Key Inputs &amp; Outputs (LD)'!$H$16)</f>
        <v>279746.10351858276</v>
      </c>
    </row>
    <row r="15" spans="1:4" x14ac:dyDescent="0.25">
      <c r="A15" s="38">
        <f t="shared" si="0"/>
        <v>500</v>
      </c>
      <c r="B15" s="39">
        <f>A15^'Key Inputs &amp; Outputs (LD)'!$H$15*EXP('Key Inputs &amp; Outputs (LD)'!$H$16)</f>
        <v>298677.00973107392</v>
      </c>
    </row>
    <row r="16" spans="1:4" x14ac:dyDescent="0.25">
      <c r="A16" s="38">
        <f t="shared" si="0"/>
        <v>550</v>
      </c>
      <c r="B16" s="39">
        <f>A16^'Key Inputs &amp; Outputs (LD)'!$H$15*EXP('Key Inputs &amp; Outputs (LD)'!$H$16)</f>
        <v>316903.37713899731</v>
      </c>
    </row>
    <row r="17" spans="1:2" x14ac:dyDescent="0.25">
      <c r="A17" s="38">
        <f t="shared" si="0"/>
        <v>600</v>
      </c>
      <c r="B17" s="39">
        <f>A17^'Key Inputs &amp; Outputs (LD)'!$H$15*EXP('Key Inputs &amp; Outputs (LD)'!$H$16)</f>
        <v>334512.24403216282</v>
      </c>
    </row>
    <row r="18" spans="1:2" x14ac:dyDescent="0.25">
      <c r="A18" s="38">
        <f t="shared" si="0"/>
        <v>650</v>
      </c>
      <c r="B18" s="39">
        <f>A18^'Key Inputs &amp; Outputs (LD)'!$H$15*EXP('Key Inputs &amp; Outputs (LD)'!$H$16)</f>
        <v>351573.60621426709</v>
      </c>
    </row>
    <row r="19" spans="1:2" x14ac:dyDescent="0.25">
      <c r="A19" s="38">
        <f t="shared" si="0"/>
        <v>700</v>
      </c>
      <c r="B19" s="39">
        <f>A19^'Key Inputs &amp; Outputs (LD)'!$H$15*EXP('Key Inputs &amp; Outputs (LD)'!$H$16)</f>
        <v>368144.79986141878</v>
      </c>
    </row>
    <row r="20" spans="1:2" x14ac:dyDescent="0.25">
      <c r="A20" s="38">
        <f t="shared" si="0"/>
        <v>750</v>
      </c>
      <c r="B20" s="39">
        <f>A20^'Key Inputs &amp; Outputs (LD)'!$H$15*EXP('Key Inputs &amp; Outputs (LD)'!$H$16)</f>
        <v>384273.52602291357</v>
      </c>
    </row>
    <row r="21" spans="1:2" x14ac:dyDescent="0.25">
      <c r="A21" s="38">
        <f t="shared" si="0"/>
        <v>800</v>
      </c>
      <c r="B21" s="39">
        <f>A21^'Key Inputs &amp; Outputs (LD)'!$H$15*EXP('Key Inputs &amp; Outputs (LD)'!$H$16)</f>
        <v>400000.00000000052</v>
      </c>
    </row>
    <row r="22" spans="1:2" x14ac:dyDescent="0.25">
      <c r="A22" s="38">
        <f t="shared" si="0"/>
        <v>850</v>
      </c>
      <c r="B22" s="39">
        <f>A22^'Key Inputs &amp; Outputs (LD)'!$H$15*EXP('Key Inputs &amp; Outputs (LD)'!$H$16)</f>
        <v>415358.51751463069</v>
      </c>
    </row>
    <row r="23" spans="1:2" x14ac:dyDescent="0.25">
      <c r="A23" s="38">
        <f t="shared" si="0"/>
        <v>900</v>
      </c>
      <c r="B23" s="39">
        <f>A23^'Key Inputs &amp; Outputs (LD)'!$H$15*EXP('Key Inputs &amp; Outputs (LD)'!$H$16)</f>
        <v>430378.62079781952</v>
      </c>
    </row>
    <row r="24" spans="1:2" x14ac:dyDescent="0.25">
      <c r="A24" s="38">
        <f t="shared" si="0"/>
        <v>950</v>
      </c>
      <c r="B24" s="39">
        <f>A24^'Key Inputs &amp; Outputs (LD)'!$H$15*EXP('Key Inputs &amp; Outputs (LD)'!$H$16)</f>
        <v>445085.98326813162</v>
      </c>
    </row>
    <row r="25" spans="1:2" x14ac:dyDescent="0.25">
      <c r="A25" s="38">
        <f t="shared" si="0"/>
        <v>1000</v>
      </c>
      <c r="B25" s="39">
        <f>A25^'Key Inputs &amp; Outputs (LD)'!$H$15*EXP('Key Inputs &amp; Outputs (LD)'!$H$16)</f>
        <v>459503.09189396008</v>
      </c>
    </row>
    <row r="26" spans="1:2" x14ac:dyDescent="0.25">
      <c r="A26" s="38">
        <f t="shared" si="0"/>
        <v>1050</v>
      </c>
      <c r="B26" s="39">
        <f>A26^'Key Inputs &amp; Outputs (LD)'!$H$15*EXP('Key Inputs &amp; Outputs (LD)'!$H$16)</f>
        <v>473649.78127082519</v>
      </c>
    </row>
    <row r="27" spans="1:2" x14ac:dyDescent="0.25">
      <c r="A27" s="38">
        <f t="shared" si="0"/>
        <v>1100</v>
      </c>
      <c r="B27" s="39">
        <f>A27^'Key Inputs &amp; Outputs (LD)'!$H$15*EXP('Key Inputs &amp; Outputs (LD)'!$H$16)</f>
        <v>487543.65713691863</v>
      </c>
    </row>
    <row r="28" spans="1:2" x14ac:dyDescent="0.25">
      <c r="A28" s="38">
        <f t="shared" si="0"/>
        <v>1150</v>
      </c>
      <c r="B28" s="39">
        <f>A28^'Key Inputs &amp; Outputs (LD)'!$H$15*EXP('Key Inputs &amp; Outputs (LD)'!$H$16)</f>
        <v>501200.43618020503</v>
      </c>
    </row>
    <row r="29" spans="1:2" x14ac:dyDescent="0.25">
      <c r="A29" s="38">
        <f t="shared" si="0"/>
        <v>1200</v>
      </c>
      <c r="B29" s="39">
        <f>A29^'Key Inputs &amp; Outputs (LD)'!$H$15*EXP('Key Inputs &amp; Outputs (LD)'!$H$16)</f>
        <v>514634.22158794245</v>
      </c>
    </row>
    <row r="30" spans="1:2" x14ac:dyDescent="0.25">
      <c r="A30" s="38">
        <f t="shared" si="0"/>
        <v>1250</v>
      </c>
      <c r="B30" s="39">
        <f>A30^'Key Inputs &amp; Outputs (LD)'!$H$15*EXP('Key Inputs &amp; Outputs (LD)'!$H$16)</f>
        <v>527857.72865027154</v>
      </c>
    </row>
    <row r="31" spans="1:2" x14ac:dyDescent="0.25">
      <c r="A31" s="38">
        <f t="shared" si="0"/>
        <v>1300</v>
      </c>
      <c r="B31" s="39">
        <f>A31^'Key Inputs &amp; Outputs (LD)'!$H$15*EXP('Key Inputs &amp; Outputs (LD)'!$H$16)</f>
        <v>540882.47109887237</v>
      </c>
    </row>
    <row r="32" spans="1:2" x14ac:dyDescent="0.25">
      <c r="A32" s="38">
        <f t="shared" si="0"/>
        <v>1350</v>
      </c>
      <c r="B32" s="39">
        <f>A32^'Key Inputs &amp; Outputs (LD)'!$H$15*EXP('Key Inputs &amp; Outputs (LD)'!$H$16)</f>
        <v>553718.91625594464</v>
      </c>
    </row>
    <row r="33" spans="1:2" x14ac:dyDescent="0.25">
      <c r="A33" s="38">
        <f t="shared" si="0"/>
        <v>1400</v>
      </c>
      <c r="B33" s="39">
        <f>A33^'Key Inputs &amp; Outputs (LD)'!$H$15*EXP('Key Inputs &amp; Outputs (LD)'!$H$16)</f>
        <v>566376.61517141352</v>
      </c>
    </row>
    <row r="34" spans="1:2" x14ac:dyDescent="0.25">
      <c r="A34" s="38">
        <f t="shared" si="0"/>
        <v>1450</v>
      </c>
      <c r="B34" s="39">
        <f>A34^'Key Inputs &amp; Outputs (LD)'!$H$15*EXP('Key Inputs &amp; Outputs (LD)'!$H$16)</f>
        <v>578864.312526369</v>
      </c>
    </row>
    <row r="35" spans="1:2" x14ac:dyDescent="0.25">
      <c r="A35" s="38">
        <f t="shared" si="0"/>
        <v>1500</v>
      </c>
      <c r="B35" s="39">
        <f>A35^'Key Inputs &amp; Outputs (LD)'!$H$15*EXP('Key Inputs &amp; Outputs (LD)'!$H$16)</f>
        <v>591190.04003525153</v>
      </c>
    </row>
  </sheetData>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theme="5"/>
  </sheetPr>
  <dimension ref="A1"/>
  <sheetViews>
    <sheetView showGridLines="0" topLeftCell="A13" workbookViewId="0">
      <selection sqref="A1:XFD1048576"/>
    </sheetView>
  </sheetViews>
  <sheetFormatPr defaultColWidth="8.88671875" defaultRowHeight="14.4" x14ac:dyDescent="0.3"/>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theme="5"/>
  </sheetPr>
  <dimension ref="A1:S54"/>
  <sheetViews>
    <sheetView showGridLines="0" workbookViewId="0">
      <selection activeCell="M35" sqref="M35"/>
    </sheetView>
  </sheetViews>
  <sheetFormatPr defaultColWidth="8.88671875" defaultRowHeight="13.8" x14ac:dyDescent="0.25"/>
  <cols>
    <col min="1" max="1" width="12.6640625" style="10" bestFit="1" customWidth="1"/>
    <col min="2" max="2" width="14.88671875" style="10" customWidth="1"/>
    <col min="3" max="3" width="28.33203125" style="10" customWidth="1"/>
    <col min="4" max="4" width="12.6640625" style="10" bestFit="1" customWidth="1"/>
    <col min="5" max="10" width="14.109375" style="16" customWidth="1"/>
    <col min="11" max="11" width="5.33203125" style="10" customWidth="1"/>
    <col min="12" max="12" width="8.88671875" style="10"/>
    <col min="13" max="13" width="36" style="10" bestFit="1" customWidth="1"/>
    <col min="14" max="16384" width="8.88671875" style="10"/>
  </cols>
  <sheetData>
    <row r="1" spans="1:19" s="3" customFormat="1" ht="17.399999999999999" x14ac:dyDescent="0.3">
      <c r="A1" s="2"/>
      <c r="B1" s="4"/>
      <c r="C1" s="2"/>
      <c r="D1" s="2"/>
      <c r="E1" s="37"/>
      <c r="F1" s="37"/>
      <c r="G1" s="37"/>
      <c r="H1" s="37"/>
      <c r="I1" s="37"/>
      <c r="J1" s="37"/>
      <c r="K1" s="2"/>
      <c r="L1" s="2"/>
    </row>
    <row r="2" spans="1:19" s="3" customFormat="1" ht="17.399999999999999" x14ac:dyDescent="0.3">
      <c r="A2" s="2"/>
      <c r="B2" s="2"/>
      <c r="C2" s="2"/>
      <c r="D2" s="2"/>
      <c r="E2" s="37"/>
      <c r="F2" s="37"/>
      <c r="G2" s="37"/>
      <c r="H2" s="37"/>
      <c r="I2" s="37"/>
      <c r="J2" s="37"/>
      <c r="K2" s="2"/>
    </row>
    <row r="3" spans="1:19" s="3" customFormat="1" ht="21" x14ac:dyDescent="0.4">
      <c r="A3" s="2"/>
      <c r="B3" s="6"/>
      <c r="C3" s="2"/>
      <c r="D3" s="2"/>
      <c r="E3" s="37"/>
      <c r="F3" s="37"/>
      <c r="G3" s="37"/>
      <c r="H3" s="37"/>
      <c r="I3" s="37"/>
      <c r="J3" s="37"/>
      <c r="K3" s="2"/>
    </row>
    <row r="4" spans="1:19" s="3" customFormat="1" ht="21" x14ac:dyDescent="0.4">
      <c r="A4" s="2"/>
      <c r="B4" s="6" t="s">
        <v>78</v>
      </c>
      <c r="C4" s="2"/>
      <c r="D4" s="2"/>
      <c r="E4" s="37"/>
      <c r="F4" s="37"/>
      <c r="G4" s="37"/>
      <c r="H4" s="37"/>
      <c r="I4" s="37"/>
      <c r="J4" s="37"/>
      <c r="K4" s="2"/>
    </row>
    <row r="5" spans="1:19" s="3" customFormat="1" ht="17.399999999999999" x14ac:dyDescent="0.3">
      <c r="A5" s="2"/>
      <c r="B5" s="5" t="s">
        <v>292</v>
      </c>
      <c r="C5" s="2"/>
      <c r="D5" s="2"/>
      <c r="E5" s="37"/>
      <c r="F5" s="37"/>
      <c r="G5" s="37"/>
      <c r="H5" s="37"/>
      <c r="I5" s="37"/>
      <c r="J5" s="37"/>
      <c r="K5" s="2"/>
      <c r="L5" s="335" t="s">
        <v>40</v>
      </c>
      <c r="M5" s="335"/>
      <c r="N5" s="10"/>
      <c r="O5" s="10"/>
      <c r="P5" s="10"/>
      <c r="Q5" s="10"/>
      <c r="R5" s="15"/>
      <c r="S5" s="15"/>
    </row>
    <row r="6" spans="1:19" ht="17.399999999999999" x14ac:dyDescent="0.3">
      <c r="A6" s="15"/>
      <c r="B6" s="15"/>
      <c r="C6" s="15"/>
      <c r="D6" s="15"/>
      <c r="E6" s="20"/>
      <c r="F6" s="20"/>
      <c r="G6" s="20"/>
      <c r="H6" s="20"/>
      <c r="I6" s="20"/>
      <c r="J6" s="20"/>
      <c r="K6" s="15"/>
      <c r="L6" s="341"/>
      <c r="M6" s="349" t="s">
        <v>303</v>
      </c>
      <c r="N6" s="349"/>
      <c r="O6" s="349"/>
      <c r="P6" s="349"/>
      <c r="Q6" s="349"/>
      <c r="R6" s="15"/>
      <c r="S6" s="15"/>
    </row>
    <row r="7" spans="1:19" ht="17.399999999999999" x14ac:dyDescent="0.3">
      <c r="A7" s="15"/>
      <c r="B7" s="19"/>
      <c r="C7" s="19"/>
      <c r="D7" s="19"/>
      <c r="E7" s="443" t="s">
        <v>42</v>
      </c>
      <c r="F7" s="443" t="s">
        <v>48</v>
      </c>
      <c r="G7" s="443" t="s">
        <v>174</v>
      </c>
      <c r="H7" s="43" t="s">
        <v>43</v>
      </c>
      <c r="I7" s="43" t="s">
        <v>43</v>
      </c>
      <c r="J7" s="43" t="s">
        <v>43</v>
      </c>
      <c r="K7" s="15"/>
      <c r="L7" s="343"/>
      <c r="M7" s="349" t="s">
        <v>304</v>
      </c>
      <c r="N7" s="349"/>
      <c r="O7" s="349"/>
      <c r="P7" s="349"/>
      <c r="Q7" s="349"/>
      <c r="R7" s="15"/>
      <c r="S7" s="15"/>
    </row>
    <row r="8" spans="1:19" ht="18" thickBot="1" x14ac:dyDescent="0.35">
      <c r="A8" s="21" t="s">
        <v>38</v>
      </c>
      <c r="B8" s="19" t="s">
        <v>2</v>
      </c>
      <c r="C8" s="19" t="s">
        <v>13</v>
      </c>
      <c r="D8" s="19" t="s">
        <v>1</v>
      </c>
      <c r="E8" s="444"/>
      <c r="F8" s="444"/>
      <c r="G8" s="443"/>
      <c r="H8" s="43" t="s">
        <v>45</v>
      </c>
      <c r="I8" s="43" t="s">
        <v>46</v>
      </c>
      <c r="J8" s="43" t="s">
        <v>50</v>
      </c>
      <c r="K8" s="15"/>
      <c r="L8" s="344"/>
      <c r="M8" s="349" t="s">
        <v>306</v>
      </c>
      <c r="N8" s="349"/>
      <c r="O8" s="349"/>
      <c r="P8" s="349"/>
      <c r="Q8" s="349"/>
      <c r="R8" s="15"/>
      <c r="S8" s="15"/>
    </row>
    <row r="9" spans="1:19" ht="15.9" customHeight="1" x14ac:dyDescent="0.3">
      <c r="A9" s="23"/>
      <c r="B9" s="458" t="s">
        <v>265</v>
      </c>
      <c r="C9" s="99" t="s">
        <v>225</v>
      </c>
      <c r="D9" s="143" t="s">
        <v>0</v>
      </c>
      <c r="E9" s="152">
        <v>800</v>
      </c>
      <c r="F9" s="129">
        <f>E9</f>
        <v>800</v>
      </c>
      <c r="G9" s="129">
        <f>F9</f>
        <v>800</v>
      </c>
      <c r="H9" s="129">
        <f>G9</f>
        <v>800</v>
      </c>
      <c r="I9" s="129">
        <f>H9</f>
        <v>800</v>
      </c>
      <c r="J9" s="130">
        <f>I9</f>
        <v>800</v>
      </c>
      <c r="K9" s="15"/>
      <c r="L9" s="346"/>
      <c r="M9" s="349" t="s">
        <v>305</v>
      </c>
      <c r="N9" s="349"/>
      <c r="O9" s="349"/>
      <c r="P9" s="349"/>
      <c r="Q9" s="349"/>
      <c r="R9" s="15"/>
      <c r="S9" s="15"/>
    </row>
    <row r="10" spans="1:19" ht="17.399999999999999" x14ac:dyDescent="0.3">
      <c r="A10" s="23"/>
      <c r="B10" s="459"/>
      <c r="C10" s="100" t="s">
        <v>226</v>
      </c>
      <c r="D10" s="305" t="s">
        <v>44</v>
      </c>
      <c r="E10" s="86">
        <v>0</v>
      </c>
      <c r="F10" s="102">
        <v>0</v>
      </c>
      <c r="G10" s="102">
        <v>0</v>
      </c>
      <c r="H10" s="102">
        <v>0</v>
      </c>
      <c r="I10" s="102">
        <v>0</v>
      </c>
      <c r="J10" s="268">
        <v>0</v>
      </c>
      <c r="K10" s="15"/>
      <c r="L10" s="347"/>
      <c r="M10" s="349" t="s">
        <v>171</v>
      </c>
      <c r="N10" s="349"/>
      <c r="O10" s="349"/>
      <c r="P10" s="349"/>
      <c r="Q10" s="349"/>
      <c r="R10" s="15"/>
      <c r="S10" s="15"/>
    </row>
    <row r="11" spans="1:19" ht="15.6" x14ac:dyDescent="0.3">
      <c r="A11" s="23"/>
      <c r="B11" s="459"/>
      <c r="C11" s="157" t="s">
        <v>177</v>
      </c>
      <c r="D11" s="306" t="s">
        <v>0</v>
      </c>
      <c r="E11" s="299">
        <f t="shared" ref="E11:J11" si="0">E9*(1-E10)</f>
        <v>800</v>
      </c>
      <c r="F11" s="300">
        <f t="shared" si="0"/>
        <v>800</v>
      </c>
      <c r="G11" s="300">
        <f t="shared" si="0"/>
        <v>800</v>
      </c>
      <c r="H11" s="300">
        <f t="shared" si="0"/>
        <v>800</v>
      </c>
      <c r="I11" s="300">
        <f t="shared" si="0"/>
        <v>800</v>
      </c>
      <c r="J11" s="301">
        <f t="shared" si="0"/>
        <v>800</v>
      </c>
      <c r="K11" s="15"/>
    </row>
    <row r="12" spans="1:19" ht="15.6" x14ac:dyDescent="0.3">
      <c r="A12" s="23"/>
      <c r="B12" s="459"/>
      <c r="C12" s="308" t="s">
        <v>241</v>
      </c>
      <c r="D12" s="147" t="s">
        <v>244</v>
      </c>
      <c r="E12" s="366">
        <v>800000</v>
      </c>
      <c r="F12" s="367">
        <f>E12</f>
        <v>800000</v>
      </c>
      <c r="G12" s="367">
        <f>F12</f>
        <v>800000</v>
      </c>
      <c r="H12" s="367">
        <f>G12</f>
        <v>800000</v>
      </c>
      <c r="I12" s="367">
        <f>H12</f>
        <v>800000</v>
      </c>
      <c r="J12" s="368">
        <f>I12</f>
        <v>800000</v>
      </c>
      <c r="K12" s="15" t="s">
        <v>243</v>
      </c>
      <c r="N12" s="219"/>
    </row>
    <row r="13" spans="1:19" ht="15.6" x14ac:dyDescent="0.3">
      <c r="A13" s="23"/>
      <c r="B13" s="459"/>
      <c r="C13" s="308" t="s">
        <v>242</v>
      </c>
      <c r="D13" s="147" t="s">
        <v>44</v>
      </c>
      <c r="E13" s="304">
        <v>1</v>
      </c>
      <c r="F13" s="302">
        <v>1</v>
      </c>
      <c r="G13" s="302">
        <v>1</v>
      </c>
      <c r="H13" s="302">
        <v>1</v>
      </c>
      <c r="I13" s="302">
        <v>1</v>
      </c>
      <c r="J13" s="303">
        <v>1</v>
      </c>
      <c r="K13" s="15"/>
      <c r="N13" s="219"/>
    </row>
    <row r="14" spans="1:19" ht="16.2" thickBot="1" x14ac:dyDescent="0.35">
      <c r="A14" s="23"/>
      <c r="B14" s="460"/>
      <c r="C14" s="309" t="s">
        <v>187</v>
      </c>
      <c r="D14" s="307" t="s">
        <v>244</v>
      </c>
      <c r="E14" s="369">
        <f t="shared" ref="E14:J14" si="1">E12*E13</f>
        <v>800000</v>
      </c>
      <c r="F14" s="370">
        <f t="shared" si="1"/>
        <v>800000</v>
      </c>
      <c r="G14" s="370">
        <f t="shared" si="1"/>
        <v>800000</v>
      </c>
      <c r="H14" s="370">
        <f t="shared" si="1"/>
        <v>800000</v>
      </c>
      <c r="I14" s="370">
        <f t="shared" si="1"/>
        <v>800000</v>
      </c>
      <c r="J14" s="371">
        <f t="shared" si="1"/>
        <v>800000</v>
      </c>
      <c r="K14" s="15"/>
      <c r="N14" s="219"/>
    </row>
    <row r="15" spans="1:19" ht="15.6" x14ac:dyDescent="0.3">
      <c r="A15" s="23"/>
      <c r="B15" s="458" t="s">
        <v>267</v>
      </c>
      <c r="C15" s="100" t="s">
        <v>17</v>
      </c>
      <c r="D15" s="125" t="s">
        <v>10</v>
      </c>
      <c r="E15" s="153">
        <v>2</v>
      </c>
      <c r="F15" s="127">
        <v>4</v>
      </c>
      <c r="G15" s="127">
        <v>6</v>
      </c>
      <c r="H15" s="126">
        <f>ROUND(H17*H18*H11/H20,0)</f>
        <v>12</v>
      </c>
      <c r="I15" s="126">
        <f>ROUND(I17*I18*I11/I20,0)</f>
        <v>30</v>
      </c>
      <c r="J15" s="131">
        <f>ROUND(J17*J18*J11/J20,0)</f>
        <v>54</v>
      </c>
      <c r="K15" s="15"/>
    </row>
    <row r="16" spans="1:19" ht="15.6" x14ac:dyDescent="0.3">
      <c r="A16" s="23"/>
      <c r="B16" s="459"/>
      <c r="C16" s="100" t="s">
        <v>6</v>
      </c>
      <c r="D16" s="125" t="s">
        <v>7</v>
      </c>
      <c r="E16" s="154">
        <f t="shared" ref="E16:J16" si="2">E11/E15</f>
        <v>400</v>
      </c>
      <c r="F16" s="128">
        <f t="shared" si="2"/>
        <v>200</v>
      </c>
      <c r="G16" s="128">
        <f t="shared" si="2"/>
        <v>133.33333333333334</v>
      </c>
      <c r="H16" s="128">
        <f t="shared" si="2"/>
        <v>66.666666666666671</v>
      </c>
      <c r="I16" s="128">
        <f t="shared" si="2"/>
        <v>26.666666666666668</v>
      </c>
      <c r="J16" s="132">
        <f t="shared" si="2"/>
        <v>14.814814814814815</v>
      </c>
      <c r="K16" s="15"/>
    </row>
    <row r="17" spans="1:13" ht="15.6" x14ac:dyDescent="0.3">
      <c r="A17" s="23"/>
      <c r="B17" s="459"/>
      <c r="C17" s="100" t="s">
        <v>8</v>
      </c>
      <c r="D17" s="125" t="s">
        <v>9</v>
      </c>
      <c r="E17" s="155">
        <v>1</v>
      </c>
      <c r="F17" s="136">
        <v>1.7</v>
      </c>
      <c r="G17" s="136">
        <v>2</v>
      </c>
      <c r="H17" s="136">
        <v>3</v>
      </c>
      <c r="I17" s="136">
        <v>7</v>
      </c>
      <c r="J17" s="137">
        <v>12</v>
      </c>
      <c r="K17" s="15"/>
    </row>
    <row r="18" spans="1:13" ht="15.6" x14ac:dyDescent="0.3">
      <c r="A18" s="23"/>
      <c r="B18" s="459"/>
      <c r="C18" s="100" t="s">
        <v>268</v>
      </c>
      <c r="D18" s="125" t="s">
        <v>44</v>
      </c>
      <c r="E18" s="86">
        <v>0.45</v>
      </c>
      <c r="F18" s="102">
        <v>0.45</v>
      </c>
      <c r="G18" s="102">
        <v>0.45</v>
      </c>
      <c r="H18" s="102">
        <v>0.45</v>
      </c>
      <c r="I18" s="102">
        <v>0.45</v>
      </c>
      <c r="J18" s="268">
        <v>0.45</v>
      </c>
      <c r="K18" s="15"/>
    </row>
    <row r="19" spans="1:13" ht="15.6" x14ac:dyDescent="0.3">
      <c r="A19" s="23"/>
      <c r="B19" s="459"/>
      <c r="C19" s="100" t="s">
        <v>254</v>
      </c>
      <c r="D19" s="125" t="s">
        <v>44</v>
      </c>
      <c r="E19" s="86">
        <v>0.15</v>
      </c>
      <c r="F19" s="102">
        <v>0.15</v>
      </c>
      <c r="G19" s="102">
        <v>0.15</v>
      </c>
      <c r="H19" s="102">
        <v>0.15</v>
      </c>
      <c r="I19" s="102">
        <v>0.15</v>
      </c>
      <c r="J19" s="268">
        <v>0.15</v>
      </c>
      <c r="K19" s="15"/>
      <c r="L19" s="15"/>
      <c r="M19" s="15"/>
    </row>
    <row r="20" spans="1:13" ht="15.6" x14ac:dyDescent="0.3">
      <c r="A20" s="23"/>
      <c r="B20" s="459"/>
      <c r="C20" s="100" t="s">
        <v>238</v>
      </c>
      <c r="D20" s="125" t="s">
        <v>54</v>
      </c>
      <c r="E20" s="172">
        <f>E16*E18*E17</f>
        <v>180</v>
      </c>
      <c r="F20" s="126">
        <f>F16*F18*F17</f>
        <v>153</v>
      </c>
      <c r="G20" s="126">
        <f>G16*G18*G17</f>
        <v>120.00000000000001</v>
      </c>
      <c r="H20" s="127">
        <v>90</v>
      </c>
      <c r="I20" s="127">
        <v>85</v>
      </c>
      <c r="J20" s="269">
        <v>80</v>
      </c>
      <c r="K20" s="15" t="s">
        <v>269</v>
      </c>
      <c r="L20" s="15"/>
      <c r="M20" s="15"/>
    </row>
    <row r="21" spans="1:13" ht="16.2" thickBot="1" x14ac:dyDescent="0.35">
      <c r="A21" s="23"/>
      <c r="B21" s="459"/>
      <c r="C21" s="144" t="s">
        <v>5</v>
      </c>
      <c r="D21" s="319" t="s">
        <v>4</v>
      </c>
      <c r="E21" s="320">
        <v>9</v>
      </c>
      <c r="F21" s="321">
        <v>12</v>
      </c>
      <c r="G21" s="321">
        <v>15</v>
      </c>
      <c r="H21" s="321">
        <v>18</v>
      </c>
      <c r="I21" s="321">
        <v>21</v>
      </c>
      <c r="J21" s="322">
        <v>24</v>
      </c>
      <c r="K21" s="15"/>
      <c r="L21" s="15"/>
      <c r="M21" s="15"/>
    </row>
    <row r="22" spans="1:13" ht="15.6" x14ac:dyDescent="0.3">
      <c r="A22" s="23"/>
      <c r="B22" s="458" t="s">
        <v>270</v>
      </c>
      <c r="C22" s="99" t="s">
        <v>175</v>
      </c>
      <c r="D22" s="323" t="s">
        <v>0</v>
      </c>
      <c r="E22" s="324">
        <f t="shared" ref="E22:J22" si="3">E15*E20</f>
        <v>360</v>
      </c>
      <c r="F22" s="325">
        <f t="shared" si="3"/>
        <v>612</v>
      </c>
      <c r="G22" s="325">
        <f t="shared" si="3"/>
        <v>720.00000000000011</v>
      </c>
      <c r="H22" s="325">
        <f t="shared" si="3"/>
        <v>1080</v>
      </c>
      <c r="I22" s="325">
        <f t="shared" si="3"/>
        <v>2550</v>
      </c>
      <c r="J22" s="326">
        <f t="shared" si="3"/>
        <v>4320</v>
      </c>
      <c r="K22" s="15"/>
      <c r="L22" s="15"/>
      <c r="M22" s="15"/>
    </row>
    <row r="23" spans="1:13" ht="15.6" x14ac:dyDescent="0.3">
      <c r="A23" s="23"/>
      <c r="B23" s="459"/>
      <c r="C23" s="144" t="s">
        <v>271</v>
      </c>
      <c r="D23" s="158"/>
      <c r="E23" s="156">
        <f>E11*E18</f>
        <v>360</v>
      </c>
      <c r="F23" s="138">
        <f t="shared" ref="F23:J23" si="4">F11*F18</f>
        <v>360</v>
      </c>
      <c r="G23" s="138">
        <f t="shared" si="4"/>
        <v>360</v>
      </c>
      <c r="H23" s="138">
        <f t="shared" si="4"/>
        <v>360</v>
      </c>
      <c r="I23" s="138">
        <f t="shared" si="4"/>
        <v>360</v>
      </c>
      <c r="J23" s="139">
        <f t="shared" si="4"/>
        <v>360</v>
      </c>
      <c r="K23" s="15"/>
      <c r="L23" s="15"/>
      <c r="M23" s="15"/>
    </row>
    <row r="24" spans="1:13" ht="15.6" x14ac:dyDescent="0.3">
      <c r="A24" s="23"/>
      <c r="B24" s="459"/>
      <c r="C24" s="144" t="s">
        <v>255</v>
      </c>
      <c r="D24" s="158" t="s">
        <v>0</v>
      </c>
      <c r="E24" s="156">
        <f t="shared" ref="E24:J24" si="5">E11*E19</f>
        <v>120</v>
      </c>
      <c r="F24" s="138">
        <f t="shared" si="5"/>
        <v>120</v>
      </c>
      <c r="G24" s="138">
        <f t="shared" si="5"/>
        <v>120</v>
      </c>
      <c r="H24" s="138">
        <f t="shared" si="5"/>
        <v>120</v>
      </c>
      <c r="I24" s="138">
        <f t="shared" si="5"/>
        <v>120</v>
      </c>
      <c r="J24" s="139">
        <f t="shared" si="5"/>
        <v>120</v>
      </c>
      <c r="K24" s="15"/>
      <c r="L24" s="15"/>
      <c r="M24" s="15"/>
    </row>
    <row r="25" spans="1:13" ht="15.6" x14ac:dyDescent="0.3">
      <c r="A25" s="23"/>
      <c r="B25" s="459"/>
      <c r="C25" s="144" t="s">
        <v>264</v>
      </c>
      <c r="D25" s="158" t="s">
        <v>0</v>
      </c>
      <c r="E25" s="156">
        <f>E9-SUM(E23:E24)</f>
        <v>320</v>
      </c>
      <c r="F25" s="138">
        <f t="shared" ref="F25:J25" si="6">F9-SUM(F23:F24)</f>
        <v>320</v>
      </c>
      <c r="G25" s="138">
        <f t="shared" si="6"/>
        <v>320</v>
      </c>
      <c r="H25" s="138">
        <f t="shared" si="6"/>
        <v>320</v>
      </c>
      <c r="I25" s="138">
        <f t="shared" si="6"/>
        <v>320</v>
      </c>
      <c r="J25" s="139">
        <f t="shared" si="6"/>
        <v>320</v>
      </c>
      <c r="K25" s="15"/>
      <c r="L25" s="15"/>
      <c r="M25" s="15"/>
    </row>
    <row r="26" spans="1:13" ht="16.2" thickBot="1" x14ac:dyDescent="0.35">
      <c r="A26" s="23"/>
      <c r="B26" s="460"/>
      <c r="C26" s="101" t="s">
        <v>55</v>
      </c>
      <c r="D26" s="327" t="s">
        <v>44</v>
      </c>
      <c r="E26" s="328">
        <f t="shared" ref="E26:J26" si="7">E15*E20/E11</f>
        <v>0.45</v>
      </c>
      <c r="F26" s="329">
        <f t="shared" si="7"/>
        <v>0.76500000000000001</v>
      </c>
      <c r="G26" s="329">
        <f t="shared" si="7"/>
        <v>0.90000000000000013</v>
      </c>
      <c r="H26" s="329">
        <f t="shared" si="7"/>
        <v>1.35</v>
      </c>
      <c r="I26" s="329">
        <f t="shared" si="7"/>
        <v>3.1875</v>
      </c>
      <c r="J26" s="330">
        <f t="shared" si="7"/>
        <v>5.4</v>
      </c>
      <c r="K26" s="15"/>
      <c r="L26" s="15"/>
      <c r="M26" s="15"/>
    </row>
    <row r="27" spans="1:13" ht="15.6" x14ac:dyDescent="0.3">
      <c r="A27" s="23"/>
      <c r="B27" s="458" t="s">
        <v>266</v>
      </c>
      <c r="C27" s="99" t="s">
        <v>59</v>
      </c>
      <c r="D27" s="145" t="s">
        <v>44</v>
      </c>
      <c r="E27" s="85">
        <v>1</v>
      </c>
      <c r="F27" s="270">
        <v>1</v>
      </c>
      <c r="G27" s="270">
        <v>1</v>
      </c>
      <c r="H27" s="270">
        <v>0.6</v>
      </c>
      <c r="I27" s="270">
        <v>0.6</v>
      </c>
      <c r="J27" s="271">
        <v>0.6</v>
      </c>
      <c r="K27" s="15"/>
      <c r="L27" s="15"/>
      <c r="M27" s="15"/>
    </row>
    <row r="28" spans="1:13" ht="15.6" x14ac:dyDescent="0.3">
      <c r="A28" s="23"/>
      <c r="B28" s="459"/>
      <c r="C28" s="157" t="s">
        <v>234</v>
      </c>
      <c r="D28" s="267"/>
      <c r="E28" s="445" t="s">
        <v>235</v>
      </c>
      <c r="F28" s="446"/>
      <c r="G28" s="446"/>
      <c r="H28" s="446"/>
      <c r="I28" s="446"/>
      <c r="J28" s="447"/>
      <c r="K28" s="15" t="s">
        <v>236</v>
      </c>
      <c r="L28" s="15"/>
      <c r="M28" s="15"/>
    </row>
    <row r="29" spans="1:13" ht="15.6" x14ac:dyDescent="0.3">
      <c r="A29" s="23"/>
      <c r="B29" s="459"/>
      <c r="C29" s="146" t="s">
        <v>49</v>
      </c>
      <c r="D29" s="147" t="s">
        <v>44</v>
      </c>
      <c r="E29" s="272">
        <v>0.45</v>
      </c>
      <c r="F29" s="162">
        <v>0.45</v>
      </c>
      <c r="G29" s="162">
        <v>0.45</v>
      </c>
      <c r="H29" s="162">
        <v>0.45</v>
      </c>
      <c r="I29" s="162">
        <v>0.45</v>
      </c>
      <c r="J29" s="273">
        <v>0.45</v>
      </c>
      <c r="K29" s="15" t="s">
        <v>237</v>
      </c>
      <c r="L29" s="15"/>
      <c r="M29" s="15"/>
    </row>
    <row r="30" spans="1:13" ht="15.6" x14ac:dyDescent="0.3">
      <c r="A30" s="23"/>
      <c r="B30" s="459"/>
      <c r="C30" s="146" t="s">
        <v>56</v>
      </c>
      <c r="D30" s="148" t="s">
        <v>57</v>
      </c>
      <c r="E30" s="274">
        <v>3</v>
      </c>
      <c r="F30" s="159">
        <v>3</v>
      </c>
      <c r="G30" s="159">
        <v>3</v>
      </c>
      <c r="H30" s="159">
        <v>3</v>
      </c>
      <c r="I30" s="159">
        <v>3</v>
      </c>
      <c r="J30" s="275">
        <v>3</v>
      </c>
      <c r="K30" s="15"/>
      <c r="L30" s="15"/>
      <c r="M30" s="15"/>
    </row>
    <row r="31" spans="1:13" ht="15.6" x14ac:dyDescent="0.3">
      <c r="A31" s="23"/>
      <c r="B31" s="459"/>
      <c r="C31" s="146" t="s">
        <v>52</v>
      </c>
      <c r="D31" s="148" t="s">
        <v>0</v>
      </c>
      <c r="E31" s="274">
        <v>35</v>
      </c>
      <c r="F31" s="160">
        <v>35</v>
      </c>
      <c r="G31" s="160">
        <v>35</v>
      </c>
      <c r="H31" s="160">
        <v>35</v>
      </c>
      <c r="I31" s="160">
        <v>35</v>
      </c>
      <c r="J31" s="161">
        <v>35</v>
      </c>
      <c r="K31" s="15"/>
      <c r="L31" s="15"/>
      <c r="M31" s="15"/>
    </row>
    <row r="32" spans="1:13" ht="16.2" thickBot="1" x14ac:dyDescent="0.35">
      <c r="A32" s="23"/>
      <c r="B32" s="460"/>
      <c r="C32" s="317" t="s">
        <v>51</v>
      </c>
      <c r="D32" s="318" t="s">
        <v>58</v>
      </c>
      <c r="E32" s="276">
        <v>0</v>
      </c>
      <c r="F32" s="277">
        <v>0</v>
      </c>
      <c r="G32" s="277">
        <v>0</v>
      </c>
      <c r="H32" s="277">
        <v>0</v>
      </c>
      <c r="I32" s="277">
        <v>0</v>
      </c>
      <c r="J32" s="278">
        <v>0</v>
      </c>
      <c r="K32" s="15"/>
      <c r="L32" s="15"/>
      <c r="M32" s="15"/>
    </row>
    <row r="33" spans="1:13" ht="26.1" customHeight="1" x14ac:dyDescent="0.3">
      <c r="A33" s="23"/>
      <c r="B33" s="459" t="s">
        <v>109</v>
      </c>
      <c r="C33" s="311" t="s">
        <v>112</v>
      </c>
      <c r="D33" s="312"/>
      <c r="E33" s="313"/>
      <c r="F33" s="314"/>
      <c r="G33" s="315"/>
      <c r="H33" s="314"/>
      <c r="I33" s="314"/>
      <c r="J33" s="316"/>
      <c r="K33" s="15"/>
      <c r="L33" s="15"/>
      <c r="M33" s="15"/>
    </row>
    <row r="34" spans="1:13" ht="26.1" customHeight="1" x14ac:dyDescent="0.3">
      <c r="A34" s="23"/>
      <c r="B34" s="459"/>
      <c r="C34" s="146" t="s">
        <v>100</v>
      </c>
      <c r="D34" s="148"/>
      <c r="E34" s="279"/>
      <c r="F34" s="133"/>
      <c r="G34" s="134"/>
      <c r="H34" s="133"/>
      <c r="I34" s="133"/>
      <c r="J34" s="135"/>
      <c r="K34" s="15"/>
      <c r="L34" s="15"/>
      <c r="M34" s="15"/>
    </row>
    <row r="35" spans="1:13" ht="26.1" customHeight="1" thickBot="1" x14ac:dyDescent="0.35">
      <c r="A35" s="23"/>
      <c r="B35" s="460"/>
      <c r="C35" s="149" t="s">
        <v>110</v>
      </c>
      <c r="D35" s="150"/>
      <c r="E35" s="280"/>
      <c r="F35" s="281"/>
      <c r="G35" s="282"/>
      <c r="H35" s="281"/>
      <c r="I35" s="281"/>
      <c r="J35" s="283"/>
      <c r="K35" s="15"/>
      <c r="L35" s="15"/>
      <c r="M35" s="15"/>
    </row>
    <row r="36" spans="1:13" ht="15.6" x14ac:dyDescent="0.3">
      <c r="A36" s="23"/>
      <c r="B36" s="458" t="s">
        <v>284</v>
      </c>
      <c r="C36" s="99" t="s">
        <v>186</v>
      </c>
      <c r="D36" s="143" t="s">
        <v>18</v>
      </c>
      <c r="E36" s="372">
        <v>8000</v>
      </c>
      <c r="F36" s="373">
        <v>6750</v>
      </c>
      <c r="G36" s="373">
        <v>6750</v>
      </c>
      <c r="H36" s="373">
        <v>8000</v>
      </c>
      <c r="I36" s="373">
        <v>8000</v>
      </c>
      <c r="J36" s="374">
        <v>8000</v>
      </c>
      <c r="K36" s="15" t="s">
        <v>317</v>
      </c>
      <c r="L36" s="15"/>
      <c r="M36" s="15"/>
    </row>
    <row r="37" spans="1:13" ht="16.2" thickBot="1" x14ac:dyDescent="0.35">
      <c r="A37" s="23"/>
      <c r="B37" s="460"/>
      <c r="C37" s="101" t="s">
        <v>53</v>
      </c>
      <c r="D37" s="151" t="s">
        <v>9</v>
      </c>
      <c r="E37" s="375">
        <f t="shared" ref="E37:J37" si="8">E20*E36</f>
        <v>1440000</v>
      </c>
      <c r="F37" s="376">
        <f t="shared" si="8"/>
        <v>1032750</v>
      </c>
      <c r="G37" s="376">
        <f t="shared" si="8"/>
        <v>810000.00000000012</v>
      </c>
      <c r="H37" s="376">
        <f t="shared" si="8"/>
        <v>720000</v>
      </c>
      <c r="I37" s="376">
        <f t="shared" si="8"/>
        <v>680000</v>
      </c>
      <c r="J37" s="377">
        <f t="shared" si="8"/>
        <v>640000</v>
      </c>
      <c r="K37" s="15"/>
      <c r="L37" s="15"/>
      <c r="M37" s="15"/>
    </row>
    <row r="38" spans="1:13" ht="9.9" customHeight="1" x14ac:dyDescent="0.25">
      <c r="A38" s="15"/>
      <c r="B38" s="15"/>
      <c r="C38" s="15"/>
      <c r="D38" s="15"/>
      <c r="E38" s="20"/>
      <c r="F38" s="20"/>
      <c r="G38" s="20"/>
      <c r="H38" s="20"/>
      <c r="I38" s="20"/>
      <c r="J38" s="20"/>
      <c r="K38" s="15"/>
      <c r="L38" s="15"/>
      <c r="M38" s="15"/>
    </row>
    <row r="39" spans="1:13" ht="15.6" x14ac:dyDescent="0.3">
      <c r="A39" s="15"/>
      <c r="B39" s="19"/>
      <c r="C39" s="19"/>
      <c r="D39" s="19"/>
      <c r="E39" s="443" t="str">
        <f>E7</f>
        <v>Detached</v>
      </c>
      <c r="F39" s="443" t="str">
        <f>F7</f>
        <v>Duplex</v>
      </c>
      <c r="G39" s="443" t="str">
        <f>G7</f>
        <v>Terrace Home</v>
      </c>
      <c r="H39" s="43" t="s">
        <v>43</v>
      </c>
      <c r="I39" s="43" t="s">
        <v>43</v>
      </c>
      <c r="J39" s="43" t="s">
        <v>43</v>
      </c>
      <c r="K39" s="15"/>
      <c r="L39" s="24"/>
      <c r="M39" s="15"/>
    </row>
    <row r="40" spans="1:13" ht="16.2" thickBot="1" x14ac:dyDescent="0.35">
      <c r="A40" s="13" t="s">
        <v>39</v>
      </c>
      <c r="B40" s="19" t="s">
        <v>2</v>
      </c>
      <c r="C40" s="19" t="s">
        <v>13</v>
      </c>
      <c r="D40" s="19"/>
      <c r="E40" s="444"/>
      <c r="F40" s="444"/>
      <c r="G40" s="443"/>
      <c r="H40" s="43" t="s">
        <v>45</v>
      </c>
      <c r="I40" s="43" t="s">
        <v>46</v>
      </c>
      <c r="J40" s="43" t="s">
        <v>50</v>
      </c>
      <c r="K40" s="15"/>
      <c r="L40" s="26"/>
      <c r="M40" s="15"/>
    </row>
    <row r="41" spans="1:13" ht="15.6" x14ac:dyDescent="0.3">
      <c r="A41" s="15"/>
      <c r="B41" s="468" t="s">
        <v>35</v>
      </c>
      <c r="C41" s="461" t="s">
        <v>188</v>
      </c>
      <c r="D41" s="462"/>
      <c r="E41" s="378">
        <f t="shared" ref="E41:J41" si="9">E15*E37</f>
        <v>2880000</v>
      </c>
      <c r="F41" s="378">
        <f t="shared" si="9"/>
        <v>4131000</v>
      </c>
      <c r="G41" s="378">
        <f t="shared" si="9"/>
        <v>4860000.0000000009</v>
      </c>
      <c r="H41" s="378">
        <f t="shared" si="9"/>
        <v>8640000</v>
      </c>
      <c r="I41" s="378">
        <f t="shared" si="9"/>
        <v>20400000</v>
      </c>
      <c r="J41" s="379">
        <f t="shared" si="9"/>
        <v>34560000</v>
      </c>
      <c r="K41" s="15"/>
      <c r="L41" s="26"/>
      <c r="M41" s="15"/>
    </row>
    <row r="42" spans="1:13" ht="16.2" thickBot="1" x14ac:dyDescent="0.35">
      <c r="A42" s="15"/>
      <c r="B42" s="412"/>
      <c r="C42" s="452" t="s">
        <v>189</v>
      </c>
      <c r="D42" s="453"/>
      <c r="E42" s="380">
        <f>E41/(1+'Financial assumptions'!$C$10)</f>
        <v>2504347.8260869565</v>
      </c>
      <c r="F42" s="380">
        <f>F41/(1+'Financial assumptions'!$C$10)</f>
        <v>3592173.9130434785</v>
      </c>
      <c r="G42" s="380">
        <f>G41/(1+'Financial assumptions'!$C$10)</f>
        <v>4226086.9565217402</v>
      </c>
      <c r="H42" s="380">
        <f>H41/(1+'Financial assumptions'!$C$10)</f>
        <v>7513043.4782608701</v>
      </c>
      <c r="I42" s="380">
        <f>I41/(1+'Financial assumptions'!$C$10)</f>
        <v>17739130.434782609</v>
      </c>
      <c r="J42" s="381">
        <f>J41/(1+'Financial assumptions'!$C$10)</f>
        <v>30052173.91304348</v>
      </c>
      <c r="K42" s="25"/>
      <c r="L42" s="26"/>
      <c r="M42" s="15"/>
    </row>
    <row r="43" spans="1:13" ht="15.6" x14ac:dyDescent="0.3">
      <c r="A43" s="15"/>
      <c r="B43" s="463" t="s">
        <v>34</v>
      </c>
      <c r="C43" s="461" t="s">
        <v>273</v>
      </c>
      <c r="D43" s="462"/>
      <c r="E43" s="378">
        <f>(1+'Financial assumptions'!$C$11)^(E$21/12)*$E$14</f>
        <v>859279.5989151533</v>
      </c>
      <c r="F43" s="378">
        <f>(1+'Financial assumptions'!$C$11)^(F$21/12)*$E$14</f>
        <v>880000.00000000012</v>
      </c>
      <c r="G43" s="378">
        <f>(1+'Financial assumptions'!$C$11)^(G$21/12)*$E$14</f>
        <v>901220.04639431182</v>
      </c>
      <c r="H43" s="378">
        <f>(1+'Financial assumptions'!$C$11)^(H$21/12)*$E$14</f>
        <v>922951.78638973355</v>
      </c>
      <c r="I43" s="378">
        <f>(1+'Financial assumptions'!$C$11)^(I$21/12)*$E$14</f>
        <v>945207.55880666873</v>
      </c>
      <c r="J43" s="379">
        <f>(1+'Financial assumptions'!$C$11)^(J$21/12)*$E$14</f>
        <v>968000.00000000012</v>
      </c>
      <c r="K43" s="25"/>
      <c r="L43" s="26"/>
      <c r="M43" s="15"/>
    </row>
    <row r="44" spans="1:13" ht="15.9" customHeight="1" x14ac:dyDescent="0.3">
      <c r="A44" s="15"/>
      <c r="B44" s="464"/>
      <c r="C44" s="450" t="s">
        <v>274</v>
      </c>
      <c r="D44" s="451"/>
      <c r="E44" s="382">
        <f>'1 Site preparation'!U12</f>
        <v>26484.109373668329</v>
      </c>
      <c r="F44" s="382">
        <f>'1 Site preparation'!V12</f>
        <v>37700.480956588282</v>
      </c>
      <c r="G44" s="382">
        <f>'1 Site preparation'!W12</f>
        <v>49294.152933952391</v>
      </c>
      <c r="H44" s="382">
        <f>'1 Site preparation'!X12</f>
        <v>83672.275609635268</v>
      </c>
      <c r="I44" s="382">
        <f>'1 Site preparation'!Y12</f>
        <v>159471.57464366639</v>
      </c>
      <c r="J44" s="383">
        <f>'1 Site preparation'!Z12</f>
        <v>313843.78635391186</v>
      </c>
      <c r="K44" s="442" t="s">
        <v>14</v>
      </c>
      <c r="L44" s="442"/>
      <c r="M44" s="15"/>
    </row>
    <row r="45" spans="1:13" ht="15.6" x14ac:dyDescent="0.3">
      <c r="A45" s="15"/>
      <c r="B45" s="464"/>
      <c r="C45" s="450" t="s">
        <v>276</v>
      </c>
      <c r="D45" s="451"/>
      <c r="E45" s="382">
        <f>'2 Construction'!AA14</f>
        <v>775013.49670936051</v>
      </c>
      <c r="F45" s="382">
        <f>'2 Construction'!AB14</f>
        <v>1367156.2588249431</v>
      </c>
      <c r="G45" s="382">
        <f>'2 Construction'!AC14</f>
        <v>1749955.4533532718</v>
      </c>
      <c r="H45" s="382">
        <f>'2 Construction'!AD14</f>
        <v>3772267.2787797274</v>
      </c>
      <c r="I45" s="382">
        <f>'2 Construction'!AE14</f>
        <v>10778131.62142561</v>
      </c>
      <c r="J45" s="383">
        <f>'2 Construction'!AF14</f>
        <v>20758873.519454937</v>
      </c>
      <c r="K45" s="442"/>
      <c r="L45" s="442"/>
      <c r="M45" s="15"/>
    </row>
    <row r="46" spans="1:13" ht="15.6" x14ac:dyDescent="0.3">
      <c r="A46" s="15"/>
      <c r="B46" s="464"/>
      <c r="C46" s="450" t="s">
        <v>275</v>
      </c>
      <c r="D46" s="451"/>
      <c r="E46" s="382">
        <f>'3 Ancillary'!AA24</f>
        <v>305109.71559281339</v>
      </c>
      <c r="F46" s="382">
        <f>'3 Ancillary'!AB24</f>
        <v>511184.89739774412</v>
      </c>
      <c r="G46" s="382">
        <f>'3 Ancillary'!AC24</f>
        <v>674800.85364369524</v>
      </c>
      <c r="H46" s="382">
        <f>'3 Ancillary'!AD24</f>
        <v>1280399.0100755107</v>
      </c>
      <c r="I46" s="382">
        <f>'3 Ancillary'!AE24</f>
        <v>3395085.5116909333</v>
      </c>
      <c r="J46" s="383">
        <f>'3 Ancillary'!AF24</f>
        <v>6356783.3862651549</v>
      </c>
      <c r="K46" s="442"/>
      <c r="L46" s="442"/>
      <c r="M46" s="15"/>
    </row>
    <row r="47" spans="1:13" ht="16.2" thickBot="1" x14ac:dyDescent="0.35">
      <c r="A47" s="15"/>
      <c r="B47" s="465"/>
      <c r="C47" s="452" t="s">
        <v>280</v>
      </c>
      <c r="D47" s="453"/>
      <c r="E47" s="380">
        <f>SUM(E43:E46)</f>
        <v>1965886.9205909956</v>
      </c>
      <c r="F47" s="380">
        <f t="shared" ref="F47:J47" si="10">SUM(F43:F46)</f>
        <v>2796041.6371792755</v>
      </c>
      <c r="G47" s="380">
        <f t="shared" si="10"/>
        <v>3375270.5063252314</v>
      </c>
      <c r="H47" s="380">
        <f t="shared" si="10"/>
        <v>6059290.3508546064</v>
      </c>
      <c r="I47" s="380">
        <f t="shared" si="10"/>
        <v>15277896.266566878</v>
      </c>
      <c r="J47" s="381">
        <f t="shared" si="10"/>
        <v>28397500.692074005</v>
      </c>
      <c r="K47" s="442"/>
      <c r="L47" s="442"/>
      <c r="M47" s="15"/>
    </row>
    <row r="48" spans="1:13" ht="15.6" x14ac:dyDescent="0.3">
      <c r="A48" s="15"/>
      <c r="B48" s="468" t="s">
        <v>37</v>
      </c>
      <c r="C48" s="454" t="s">
        <v>182</v>
      </c>
      <c r="D48" s="454"/>
      <c r="E48" s="384">
        <f t="shared" ref="E48:J48" si="11">E42-E47</f>
        <v>538460.90549596096</v>
      </c>
      <c r="F48" s="384">
        <f t="shared" si="11"/>
        <v>796132.27586420299</v>
      </c>
      <c r="G48" s="384">
        <f t="shared" si="11"/>
        <v>850816.45019650878</v>
      </c>
      <c r="H48" s="384">
        <f t="shared" si="11"/>
        <v>1453753.1274062637</v>
      </c>
      <c r="I48" s="384">
        <f t="shared" si="11"/>
        <v>2461234.1682157312</v>
      </c>
      <c r="J48" s="385">
        <f t="shared" si="11"/>
        <v>1654673.2209694758</v>
      </c>
      <c r="K48" s="15"/>
      <c r="L48" s="15"/>
      <c r="M48" s="15"/>
    </row>
    <row r="49" spans="1:11" ht="16.2" thickBot="1" x14ac:dyDescent="0.35">
      <c r="A49" s="15"/>
      <c r="B49" s="412"/>
      <c r="C49" s="455" t="s">
        <v>176</v>
      </c>
      <c r="D49" s="455"/>
      <c r="E49" s="140">
        <f t="shared" ref="E49:J49" si="12">E48/E47</f>
        <v>0.27390227782485371</v>
      </c>
      <c r="F49" s="140">
        <f t="shared" si="12"/>
        <v>0.28473548650990882</v>
      </c>
      <c r="G49" s="140">
        <f t="shared" si="12"/>
        <v>0.25207355931978936</v>
      </c>
      <c r="H49" s="140">
        <f t="shared" si="12"/>
        <v>0.23992135105412557</v>
      </c>
      <c r="I49" s="140">
        <f t="shared" si="12"/>
        <v>0.16109771432351788</v>
      </c>
      <c r="J49" s="141">
        <f t="shared" si="12"/>
        <v>5.8268269412572279E-2</v>
      </c>
      <c r="K49" s="15"/>
    </row>
    <row r="50" spans="1:11" ht="9.9" customHeight="1" thickBot="1" x14ac:dyDescent="0.3">
      <c r="A50" s="15"/>
      <c r="B50" s="15"/>
      <c r="C50" s="15"/>
      <c r="D50" s="15"/>
      <c r="E50" s="20"/>
      <c r="F50" s="20"/>
      <c r="G50" s="20"/>
      <c r="H50" s="20"/>
      <c r="I50" s="20"/>
      <c r="J50" s="20"/>
      <c r="K50" s="15"/>
    </row>
    <row r="51" spans="1:11" ht="17.399999999999999" x14ac:dyDescent="0.3">
      <c r="C51" s="466" t="s">
        <v>41</v>
      </c>
      <c r="D51" s="467"/>
      <c r="E51" s="111" t="str">
        <f>IF(E49&gt;'Financial assumptions'!$C$8,"Yes", "No")</f>
        <v>Yes</v>
      </c>
      <c r="F51" s="111" t="str">
        <f>IF(F49&gt;'Financial assumptions'!$C$8,"Yes", "No")</f>
        <v>Yes</v>
      </c>
      <c r="G51" s="111" t="str">
        <f>IF(G49&gt;'Financial assumptions'!$C$8,"Yes", "No")</f>
        <v>Yes</v>
      </c>
      <c r="H51" s="111" t="str">
        <f>IF(H49&gt;'Financial assumptions'!$C$8,"Yes", "No")</f>
        <v>Yes</v>
      </c>
      <c r="I51" s="111" t="str">
        <f>IF(I49&gt;'Financial assumptions'!$C$8,"Yes", "No")</f>
        <v>No</v>
      </c>
      <c r="J51" s="112" t="str">
        <f>IF(J49&gt;'Financial assumptions'!$C$8,"Yes", "No")</f>
        <v>No</v>
      </c>
    </row>
    <row r="52" spans="1:11" ht="17.399999999999999" x14ac:dyDescent="0.3">
      <c r="C52" s="448" t="s">
        <v>61</v>
      </c>
      <c r="D52" s="449"/>
      <c r="E52" s="110" t="str">
        <f>IF(E48=MAX($E$48:$J$48),"Yes","No")</f>
        <v>No</v>
      </c>
      <c r="F52" s="110" t="str">
        <f t="shared" ref="F52:J52" si="13">IF(F48=MAX($E$48:$J$48),"Yes","No")</f>
        <v>No</v>
      </c>
      <c r="G52" s="110" t="str">
        <f t="shared" si="13"/>
        <v>No</v>
      </c>
      <c r="H52" s="110" t="str">
        <f t="shared" si="13"/>
        <v>No</v>
      </c>
      <c r="I52" s="110" t="str">
        <f t="shared" si="13"/>
        <v>Yes</v>
      </c>
      <c r="J52" s="113" t="str">
        <f t="shared" si="13"/>
        <v>No</v>
      </c>
    </row>
    <row r="53" spans="1:11" ht="17.399999999999999" x14ac:dyDescent="0.3">
      <c r="C53" s="448" t="s">
        <v>60</v>
      </c>
      <c r="D53" s="449"/>
      <c r="E53" s="110" t="str">
        <f t="shared" ref="E53:J53" si="14">IF(E49=MAX($E$49:$J$49),"Yes","No")</f>
        <v>No</v>
      </c>
      <c r="F53" s="110" t="str">
        <f t="shared" si="14"/>
        <v>Yes</v>
      </c>
      <c r="G53" s="110" t="str">
        <f t="shared" si="14"/>
        <v>No</v>
      </c>
      <c r="H53" s="110" t="str">
        <f t="shared" si="14"/>
        <v>No</v>
      </c>
      <c r="I53" s="110" t="str">
        <f t="shared" si="14"/>
        <v>No</v>
      </c>
      <c r="J53" s="113" t="str">
        <f t="shared" si="14"/>
        <v>No</v>
      </c>
    </row>
    <row r="54" spans="1:11" ht="18" thickBot="1" x14ac:dyDescent="0.35">
      <c r="C54" s="456" t="s">
        <v>239</v>
      </c>
      <c r="D54" s="457"/>
      <c r="E54" s="114" t="str">
        <f t="shared" ref="E54:J54" si="15">IF(AND(E$18&lt;=E$29,E$17&lt;=E$30,E$20&gt;=E$31,E$16&gt;=E$32),"Yes","No")</f>
        <v>Yes</v>
      </c>
      <c r="F54" s="114" t="str">
        <f t="shared" si="15"/>
        <v>Yes</v>
      </c>
      <c r="G54" s="114" t="str">
        <f t="shared" si="15"/>
        <v>Yes</v>
      </c>
      <c r="H54" s="114" t="str">
        <f t="shared" si="15"/>
        <v>Yes</v>
      </c>
      <c r="I54" s="114" t="str">
        <f t="shared" si="15"/>
        <v>No</v>
      </c>
      <c r="J54" s="115" t="str">
        <f t="shared" si="15"/>
        <v>No</v>
      </c>
      <c r="K54" s="15" t="s">
        <v>240</v>
      </c>
    </row>
  </sheetData>
  <mergeCells count="30">
    <mergeCell ref="C54:D54"/>
    <mergeCell ref="B9:B14"/>
    <mergeCell ref="B33:B35"/>
    <mergeCell ref="B15:B21"/>
    <mergeCell ref="B22:B26"/>
    <mergeCell ref="C41:D41"/>
    <mergeCell ref="C42:D42"/>
    <mergeCell ref="C43:D43"/>
    <mergeCell ref="C44:D44"/>
    <mergeCell ref="B43:B47"/>
    <mergeCell ref="C51:D51"/>
    <mergeCell ref="C52:D52"/>
    <mergeCell ref="B36:B37"/>
    <mergeCell ref="B48:B49"/>
    <mergeCell ref="B41:B42"/>
    <mergeCell ref="B27:B32"/>
    <mergeCell ref="C53:D53"/>
    <mergeCell ref="C45:D45"/>
    <mergeCell ref="C46:D46"/>
    <mergeCell ref="C47:D47"/>
    <mergeCell ref="C48:D48"/>
    <mergeCell ref="C49:D49"/>
    <mergeCell ref="K44:L47"/>
    <mergeCell ref="G7:G8"/>
    <mergeCell ref="E7:E8"/>
    <mergeCell ref="E39:E40"/>
    <mergeCell ref="G39:G40"/>
    <mergeCell ref="F7:F8"/>
    <mergeCell ref="F39:F40"/>
    <mergeCell ref="E28:J28"/>
  </mergeCells>
  <conditionalFormatting sqref="E52:J52">
    <cfRule type="containsText" dxfId="2" priority="3" operator="containsText" text="Yes">
      <formula>NOT(ISERROR(SEARCH("Yes",E52)))</formula>
    </cfRule>
  </conditionalFormatting>
  <conditionalFormatting sqref="E53:J54">
    <cfRule type="containsText" dxfId="1" priority="2" operator="containsText" text="Yes">
      <formula>NOT(ISERROR(SEARCH("Yes",E53)))</formula>
    </cfRule>
  </conditionalFormatting>
  <conditionalFormatting sqref="E51:J51">
    <cfRule type="containsText" dxfId="0" priority="1" operator="containsText" text="Yes">
      <formula>NOT(ISERROR(SEARCH("Yes",E51)))</formula>
    </cfRule>
  </conditionalFormatting>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theme="5"/>
  </sheetPr>
  <dimension ref="A2:Z20"/>
  <sheetViews>
    <sheetView showGridLines="0" workbookViewId="0">
      <selection activeCell="H21" sqref="H21"/>
    </sheetView>
  </sheetViews>
  <sheetFormatPr defaultColWidth="8.88671875" defaultRowHeight="15" x14ac:dyDescent="0.25"/>
  <cols>
    <col min="1" max="1" width="33.109375" style="15" bestFit="1" customWidth="1"/>
    <col min="2" max="2" width="9.44140625" style="20" customWidth="1"/>
    <col min="3" max="3" width="5.6640625" style="20" customWidth="1"/>
    <col min="4" max="4" width="5.6640625" style="28" customWidth="1"/>
    <col min="5" max="8" width="5.6640625" style="15" customWidth="1"/>
    <col min="9" max="14" width="9.6640625" style="15" customWidth="1"/>
    <col min="15" max="20" width="11.33203125" style="15" customWidth="1"/>
    <col min="21" max="26" width="11.44140625" style="15" customWidth="1"/>
    <col min="27" max="16384" width="8.88671875" style="15"/>
  </cols>
  <sheetData>
    <row r="2" spans="1:26" ht="17.399999999999999" x14ac:dyDescent="0.3">
      <c r="A2" s="14" t="s">
        <v>133</v>
      </c>
    </row>
    <row r="5" spans="1:26" ht="15.6" thickBot="1" x14ac:dyDescent="0.3"/>
    <row r="6" spans="1:26" ht="15.6" x14ac:dyDescent="0.3">
      <c r="A6" s="443" t="s">
        <v>13</v>
      </c>
      <c r="B6" s="472" t="s">
        <v>1</v>
      </c>
      <c r="C6" s="476" t="s">
        <v>258</v>
      </c>
      <c r="D6" s="477"/>
      <c r="E6" s="477"/>
      <c r="F6" s="477"/>
      <c r="G6" s="477"/>
      <c r="H6" s="478"/>
      <c r="I6" s="473" t="s">
        <v>192</v>
      </c>
      <c r="J6" s="474"/>
      <c r="K6" s="474"/>
      <c r="L6" s="474"/>
      <c r="M6" s="474"/>
      <c r="N6" s="475"/>
      <c r="O6" s="473" t="s">
        <v>76</v>
      </c>
      <c r="P6" s="474"/>
      <c r="Q6" s="474"/>
      <c r="R6" s="474"/>
      <c r="S6" s="474"/>
      <c r="T6" s="475"/>
      <c r="U6" s="469" t="s">
        <v>260</v>
      </c>
      <c r="V6" s="470"/>
      <c r="W6" s="470"/>
      <c r="X6" s="470"/>
      <c r="Y6" s="470"/>
      <c r="Z6" s="471"/>
    </row>
    <row r="7" spans="1:26" ht="15.6" x14ac:dyDescent="0.3">
      <c r="A7" s="443"/>
      <c r="B7" s="472"/>
      <c r="C7" s="32" t="s">
        <v>178</v>
      </c>
      <c r="D7" s="33" t="s">
        <v>179</v>
      </c>
      <c r="E7" s="33" t="s">
        <v>180</v>
      </c>
      <c r="F7" s="34" t="s">
        <v>117</v>
      </c>
      <c r="G7" s="34" t="s">
        <v>118</v>
      </c>
      <c r="H7" s="35" t="s">
        <v>119</v>
      </c>
      <c r="I7" s="32" t="s">
        <v>178</v>
      </c>
      <c r="J7" s="33" t="s">
        <v>179</v>
      </c>
      <c r="K7" s="33" t="s">
        <v>180</v>
      </c>
      <c r="L7" s="34" t="s">
        <v>117</v>
      </c>
      <c r="M7" s="34" t="s">
        <v>118</v>
      </c>
      <c r="N7" s="35" t="s">
        <v>119</v>
      </c>
      <c r="O7" s="32" t="s">
        <v>178</v>
      </c>
      <c r="P7" s="33" t="s">
        <v>179</v>
      </c>
      <c r="Q7" s="33" t="s">
        <v>180</v>
      </c>
      <c r="R7" s="34" t="s">
        <v>117</v>
      </c>
      <c r="S7" s="34" t="s">
        <v>118</v>
      </c>
      <c r="T7" s="35" t="s">
        <v>119</v>
      </c>
      <c r="U7" s="32" t="s">
        <v>178</v>
      </c>
      <c r="V7" s="33" t="s">
        <v>179</v>
      </c>
      <c r="W7" s="33" t="s">
        <v>180</v>
      </c>
      <c r="X7" s="34" t="s">
        <v>117</v>
      </c>
      <c r="Y7" s="34" t="s">
        <v>118</v>
      </c>
      <c r="Z7" s="35" t="s">
        <v>119</v>
      </c>
    </row>
    <row r="8" spans="1:26" x14ac:dyDescent="0.25">
      <c r="A8" s="56" t="s">
        <v>111</v>
      </c>
      <c r="B8" s="183" t="s">
        <v>190</v>
      </c>
      <c r="C8" s="231">
        <v>0.1</v>
      </c>
      <c r="D8" s="217">
        <f>C8</f>
        <v>0.1</v>
      </c>
      <c r="E8" s="217">
        <f t="shared" ref="E8:H9" si="0">D8</f>
        <v>0.1</v>
      </c>
      <c r="F8" s="217">
        <f t="shared" si="0"/>
        <v>0.1</v>
      </c>
      <c r="G8" s="217">
        <f t="shared" si="0"/>
        <v>0.1</v>
      </c>
      <c r="H8" s="232">
        <f t="shared" si="0"/>
        <v>0.1</v>
      </c>
      <c r="I8" s="391">
        <v>20</v>
      </c>
      <c r="J8" s="357">
        <v>25</v>
      </c>
      <c r="K8" s="357">
        <v>30</v>
      </c>
      <c r="L8" s="357">
        <v>50</v>
      </c>
      <c r="M8" s="357">
        <v>100</v>
      </c>
      <c r="N8" s="360">
        <v>200</v>
      </c>
      <c r="O8" s="192">
        <f>I8*'Key Inputs &amp; Outputs (BD)'!E$9</f>
        <v>16000</v>
      </c>
      <c r="P8" s="163">
        <f>J8*'Key Inputs &amp; Outputs (BD)'!F$9</f>
        <v>20000</v>
      </c>
      <c r="Q8" s="163">
        <f>K8*'Key Inputs &amp; Outputs (BD)'!G$9</f>
        <v>24000</v>
      </c>
      <c r="R8" s="163">
        <f>L8*'Key Inputs &amp; Outputs (BD)'!H$9</f>
        <v>40000</v>
      </c>
      <c r="S8" s="163">
        <f>M8*'Key Inputs &amp; Outputs (BD)'!I$9</f>
        <v>80000</v>
      </c>
      <c r="T8" s="193">
        <f>N8*'Key Inputs &amp; Outputs (BD)'!J$9</f>
        <v>160000</v>
      </c>
      <c r="U8" s="188">
        <f>(1+'Financial assumptions'!$C$11)^(('Key Inputs &amp; Outputs (BD)'!E$21-C8*'Key Inputs &amp; Outputs (BD)'!E$21)/12)*O8</f>
        <v>17063.182866218573</v>
      </c>
      <c r="V8" s="164">
        <f>(1+'Financial assumptions'!$C$11)^(('Key Inputs &amp; Outputs (BD)'!F$21-D8*'Key Inputs &amp; Outputs (BD)'!F$21)/12)*P8</f>
        <v>21791.313680719479</v>
      </c>
      <c r="W8" s="164">
        <f>(1+'Financial assumptions'!$C$11)^(('Key Inputs &amp; Outputs (BD)'!G$21-E8*'Key Inputs &amp; Outputs (BD)'!G$21)/12)*Q8</f>
        <v>26716.40463730655</v>
      </c>
      <c r="X8" s="164">
        <f>(1+'Financial assumptions'!$C$11)^(('Key Inputs &amp; Outputs (BD)'!H$21-F8*'Key Inputs &amp; Outputs (BD)'!H$21)/12)*R8</f>
        <v>45492.532738439841</v>
      </c>
      <c r="Y8" s="164">
        <f>(1+'Financial assumptions'!$C$11)^(('Key Inputs &amp; Outputs (BD)'!I$21-G8*'Key Inputs &amp; Outputs (BD)'!I$21)/12)*S8</f>
        <v>92957.292557311739</v>
      </c>
      <c r="Z8" s="168">
        <f>(1+'Financial assumptions'!$C$11)^(('Key Inputs &amp; Outputs (BD)'!J$21-H8*'Key Inputs &amp; Outputs (BD)'!J$21)/12)*T8</f>
        <v>189944.54077260481</v>
      </c>
    </row>
    <row r="9" spans="1:26" x14ac:dyDescent="0.25">
      <c r="A9" s="56" t="s">
        <v>191</v>
      </c>
      <c r="B9" s="183" t="s">
        <v>190</v>
      </c>
      <c r="C9" s="231">
        <v>0.5</v>
      </c>
      <c r="D9" s="217">
        <f>C9</f>
        <v>0.5</v>
      </c>
      <c r="E9" s="217">
        <f t="shared" si="0"/>
        <v>0.5</v>
      </c>
      <c r="F9" s="217">
        <f t="shared" si="0"/>
        <v>0.5</v>
      </c>
      <c r="G9" s="217">
        <f t="shared" si="0"/>
        <v>0.5</v>
      </c>
      <c r="H9" s="232">
        <f t="shared" si="0"/>
        <v>0.5</v>
      </c>
      <c r="I9" s="392">
        <v>5</v>
      </c>
      <c r="J9" s="358">
        <v>10</v>
      </c>
      <c r="K9" s="358">
        <v>15</v>
      </c>
      <c r="L9" s="358">
        <v>25</v>
      </c>
      <c r="M9" s="358">
        <v>40</v>
      </c>
      <c r="N9" s="361">
        <v>70</v>
      </c>
      <c r="O9" s="192">
        <f>I9*'Key Inputs &amp; Outputs (BD)'!E$9</f>
        <v>4000</v>
      </c>
      <c r="P9" s="163">
        <f>J9*'Key Inputs &amp; Outputs (BD)'!F$9</f>
        <v>8000</v>
      </c>
      <c r="Q9" s="163">
        <f>K9*'Key Inputs &amp; Outputs (BD)'!G$9</f>
        <v>12000</v>
      </c>
      <c r="R9" s="163">
        <f>L9*'Key Inputs &amp; Outputs (BD)'!H$9</f>
        <v>20000</v>
      </c>
      <c r="S9" s="163">
        <f>M9*'Key Inputs &amp; Outputs (BD)'!I$9</f>
        <v>32000</v>
      </c>
      <c r="T9" s="193">
        <f>N9*'Key Inputs &amp; Outputs (BD)'!J$9</f>
        <v>56000</v>
      </c>
      <c r="U9" s="188">
        <f>(1+'Financial assumptions'!$C$11)^(('Key Inputs &amp; Outputs (BD)'!E$21-C9*'Key Inputs &amp; Outputs (BD)'!E$21)/12)*O9</f>
        <v>4145.5508654825435</v>
      </c>
      <c r="V9" s="164">
        <f>(1+'Financial assumptions'!$C$11)^(('Key Inputs &amp; Outputs (BD)'!F$21-D9*'Key Inputs &amp; Outputs (BD)'!F$21)/12)*P9</f>
        <v>8390.4707853612126</v>
      </c>
      <c r="W9" s="164">
        <f>(1+'Financial assumptions'!$C$11)^(('Key Inputs &amp; Outputs (BD)'!G$21-E9*'Key Inputs &amp; Outputs (BD)'!G$21)/12)*Q9</f>
        <v>12736.546170409625</v>
      </c>
      <c r="X9" s="164">
        <f>(1+'Financial assumptions'!$C$11)^(('Key Inputs &amp; Outputs (BD)'!H$21-F9*'Key Inputs &amp; Outputs (BD)'!H$21)/12)*R9</f>
        <v>21481.989972878833</v>
      </c>
      <c r="Y9" s="164">
        <f>(1+'Financial assumptions'!$C$11)^(('Key Inputs &amp; Outputs (BD)'!I$21-G9*'Key Inputs &amp; Outputs (BD)'!I$21)/12)*S9</f>
        <v>34783.12342606017</v>
      </c>
      <c r="Z9" s="168">
        <f>(1+'Financial assumptions'!$C$11)^(('Key Inputs &amp; Outputs (BD)'!J$21-H9*'Key Inputs &amp; Outputs (BD)'!J$21)/12)*T9</f>
        <v>61600.000000000007</v>
      </c>
    </row>
    <row r="10" spans="1:26" ht="15.6" thickBot="1" x14ac:dyDescent="0.3">
      <c r="A10" s="58" t="s">
        <v>19</v>
      </c>
      <c r="B10" s="209"/>
      <c r="C10" s="223">
        <v>0.25</v>
      </c>
      <c r="D10" s="218">
        <v>0.25</v>
      </c>
      <c r="E10" s="218">
        <v>0.25</v>
      </c>
      <c r="F10" s="218">
        <v>0.25</v>
      </c>
      <c r="G10" s="218">
        <v>0.25</v>
      </c>
      <c r="H10" s="233">
        <v>0.25</v>
      </c>
      <c r="I10" s="223">
        <v>0.25</v>
      </c>
      <c r="J10" s="218">
        <v>0.25</v>
      </c>
      <c r="K10" s="218">
        <v>0.25</v>
      </c>
      <c r="L10" s="218">
        <v>0.25</v>
      </c>
      <c r="M10" s="218">
        <v>0.25</v>
      </c>
      <c r="N10" s="224">
        <v>0.25</v>
      </c>
      <c r="O10" s="194">
        <f t="shared" ref="O10:T10" si="1">I10*SUM(O8:O9)</f>
        <v>5000</v>
      </c>
      <c r="P10" s="169">
        <f t="shared" si="1"/>
        <v>7000</v>
      </c>
      <c r="Q10" s="169">
        <f t="shared" si="1"/>
        <v>9000</v>
      </c>
      <c r="R10" s="169">
        <f t="shared" si="1"/>
        <v>15000</v>
      </c>
      <c r="S10" s="169">
        <f t="shared" si="1"/>
        <v>28000</v>
      </c>
      <c r="T10" s="195">
        <f t="shared" si="1"/>
        <v>54000</v>
      </c>
      <c r="U10" s="189">
        <f>(1+'Financial assumptions'!$C$11)^(('Key Inputs &amp; Outputs (BD)'!E$21-C10*'Key Inputs &amp; Outputs (BD)'!E$21)/12)*O10</f>
        <v>5275.3756419672136</v>
      </c>
      <c r="V10" s="170">
        <f>(1+'Financial assumptions'!$C$11)^(('Key Inputs &amp; Outputs (BD)'!F$21-D10*'Key Inputs &amp; Outputs (BD)'!F$21)/12)*P10</f>
        <v>7518.6964905075911</v>
      </c>
      <c r="W10" s="170">
        <f>(1+'Financial assumptions'!$C$11)^(('Key Inputs &amp; Outputs (BD)'!G$21-E10*'Key Inputs &amp; Outputs (BD)'!G$21)/12)*Q10</f>
        <v>9841.2021262362196</v>
      </c>
      <c r="X10" s="170">
        <f>(1+'Financial assumptions'!$C$11)^(('Key Inputs &amp; Outputs (BD)'!H$21-F10*'Key Inputs &amp; Outputs (BD)'!H$21)/12)*R10</f>
        <v>16697.752898316594</v>
      </c>
      <c r="Y10" s="170">
        <f>(1+'Financial assumptions'!$C$11)^(('Key Inputs &amp; Outputs (BD)'!I$21-G10*'Key Inputs &amp; Outputs (BD)'!I$21)/12)*S10</f>
        <v>31731.158660294495</v>
      </c>
      <c r="Z10" s="171">
        <f>(1+'Financial assumptions'!$C$11)^(('Key Inputs &amp; Outputs (BD)'!J$21-H10*'Key Inputs &amp; Outputs (BD)'!J$21)/12)*T10</f>
        <v>62299.245581307012</v>
      </c>
    </row>
    <row r="11" spans="1:26" ht="15.6" thickBot="1" x14ac:dyDescent="0.3">
      <c r="A11" s="20"/>
      <c r="C11" s="28"/>
      <c r="D11" s="15"/>
    </row>
    <row r="12" spans="1:26" ht="16.2" thickBot="1" x14ac:dyDescent="0.3">
      <c r="A12" s="295" t="s">
        <v>199</v>
      </c>
      <c r="B12" s="296"/>
      <c r="C12" s="296"/>
      <c r="D12" s="296"/>
      <c r="E12" s="296"/>
      <c r="F12" s="296"/>
      <c r="G12" s="296"/>
      <c r="H12" s="296"/>
      <c r="I12" s="296"/>
      <c r="J12" s="296"/>
      <c r="K12" s="296"/>
      <c r="L12" s="296"/>
      <c r="M12" s="296"/>
      <c r="N12" s="310"/>
      <c r="O12" s="198">
        <f>SUM(O8:O10)</f>
        <v>25000</v>
      </c>
      <c r="P12" s="198">
        <f t="shared" ref="P12:Z12" si="2">SUM(P8:P10)</f>
        <v>35000</v>
      </c>
      <c r="Q12" s="198">
        <f t="shared" si="2"/>
        <v>45000</v>
      </c>
      <c r="R12" s="198">
        <f t="shared" si="2"/>
        <v>75000</v>
      </c>
      <c r="S12" s="198">
        <f t="shared" si="2"/>
        <v>140000</v>
      </c>
      <c r="T12" s="198">
        <f t="shared" si="2"/>
        <v>270000</v>
      </c>
      <c r="U12" s="198">
        <f t="shared" si="2"/>
        <v>26484.109373668329</v>
      </c>
      <c r="V12" s="198">
        <f t="shared" si="2"/>
        <v>37700.480956588282</v>
      </c>
      <c r="W12" s="198">
        <f t="shared" si="2"/>
        <v>49294.152933952391</v>
      </c>
      <c r="X12" s="198">
        <f t="shared" si="2"/>
        <v>83672.275609635268</v>
      </c>
      <c r="Y12" s="198">
        <f t="shared" si="2"/>
        <v>159471.57464366639</v>
      </c>
      <c r="Z12" s="198">
        <f t="shared" si="2"/>
        <v>313843.78635391186</v>
      </c>
    </row>
    <row r="14" spans="1:26" ht="15.6" x14ac:dyDescent="0.3">
      <c r="A14" s="24" t="s">
        <v>259</v>
      </c>
      <c r="L14" s="335" t="s">
        <v>40</v>
      </c>
      <c r="M14" s="335"/>
      <c r="N14" s="10"/>
      <c r="O14" s="10"/>
      <c r="P14" s="10"/>
      <c r="Q14" s="10"/>
      <c r="T14" s="13" t="s">
        <v>129</v>
      </c>
    </row>
    <row r="15" spans="1:26" ht="17.399999999999999" x14ac:dyDescent="0.3">
      <c r="A15" s="15" t="s">
        <v>224</v>
      </c>
      <c r="L15" s="341"/>
      <c r="M15" s="349" t="s">
        <v>303</v>
      </c>
      <c r="N15" s="349"/>
      <c r="O15" s="349"/>
      <c r="P15" s="349"/>
      <c r="Q15" s="349"/>
      <c r="T15" s="15" t="s">
        <v>178</v>
      </c>
      <c r="U15" s="15" t="s">
        <v>42</v>
      </c>
    </row>
    <row r="16" spans="1:26" ht="17.399999999999999" x14ac:dyDescent="0.3">
      <c r="A16" s="36"/>
      <c r="L16" s="343"/>
      <c r="M16" s="349" t="s">
        <v>304</v>
      </c>
      <c r="N16" s="349"/>
      <c r="O16" s="349"/>
      <c r="P16" s="349"/>
      <c r="Q16" s="349"/>
      <c r="T16" s="15" t="s">
        <v>179</v>
      </c>
      <c r="U16" s="15" t="s">
        <v>48</v>
      </c>
    </row>
    <row r="17" spans="1:21" ht="17.399999999999999" x14ac:dyDescent="0.3">
      <c r="A17" s="36"/>
      <c r="L17" s="344"/>
      <c r="M17" s="349" t="s">
        <v>306</v>
      </c>
      <c r="N17" s="349"/>
      <c r="O17" s="349"/>
      <c r="P17" s="349"/>
      <c r="Q17" s="349"/>
      <c r="T17" s="15" t="s">
        <v>180</v>
      </c>
      <c r="U17" s="15" t="s">
        <v>174</v>
      </c>
    </row>
    <row r="18" spans="1:21" ht="17.399999999999999" x14ac:dyDescent="0.3">
      <c r="L18" s="346"/>
      <c r="M18" s="349" t="s">
        <v>305</v>
      </c>
      <c r="N18" s="349"/>
      <c r="O18" s="349"/>
      <c r="P18" s="349"/>
      <c r="Q18" s="349"/>
      <c r="T18" s="15" t="s">
        <v>117</v>
      </c>
      <c r="U18" s="15" t="s">
        <v>130</v>
      </c>
    </row>
    <row r="19" spans="1:21" ht="17.399999999999999" x14ac:dyDescent="0.3">
      <c r="L19" s="347"/>
      <c r="M19" s="349" t="s">
        <v>171</v>
      </c>
      <c r="N19" s="349"/>
      <c r="O19" s="349"/>
      <c r="P19" s="349"/>
      <c r="Q19" s="349"/>
      <c r="T19" s="15" t="s">
        <v>118</v>
      </c>
      <c r="U19" s="15" t="s">
        <v>131</v>
      </c>
    </row>
    <row r="20" spans="1:21" x14ac:dyDescent="0.25">
      <c r="L20" s="20"/>
      <c r="M20" s="20"/>
      <c r="N20" s="28"/>
      <c r="T20" s="15" t="s">
        <v>119</v>
      </c>
      <c r="U20" s="15" t="s">
        <v>132</v>
      </c>
    </row>
  </sheetData>
  <mergeCells count="6">
    <mergeCell ref="U6:Z6"/>
    <mergeCell ref="B6:B7"/>
    <mergeCell ref="A6:A7"/>
    <mergeCell ref="O6:T6"/>
    <mergeCell ref="I6:N6"/>
    <mergeCell ref="C6:H6"/>
  </mergeCell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theme="5"/>
  </sheetPr>
  <dimension ref="A1:AF22"/>
  <sheetViews>
    <sheetView showGridLines="0" topLeftCell="G1" workbookViewId="0">
      <selection activeCell="I23" sqref="I23"/>
    </sheetView>
  </sheetViews>
  <sheetFormatPr defaultColWidth="8.88671875" defaultRowHeight="15" x14ac:dyDescent="0.25"/>
  <cols>
    <col min="1" max="1" width="37.88671875" style="15" customWidth="1"/>
    <col min="2" max="2" width="8.88671875" style="15"/>
    <col min="3" max="8" width="5.6640625" style="15" customWidth="1"/>
    <col min="9" max="14" width="8.33203125" style="15" bestFit="1" customWidth="1"/>
    <col min="15" max="15" width="5.44140625" style="15" bestFit="1" customWidth="1"/>
    <col min="16" max="17" width="4.88671875" style="15" bestFit="1" customWidth="1"/>
    <col min="18" max="20" width="7" style="15" bestFit="1" customWidth="1"/>
    <col min="21" max="21" width="10.88671875" style="15" bestFit="1" customWidth="1"/>
    <col min="22" max="24" width="12.6640625" style="15" bestFit="1" customWidth="1"/>
    <col min="25" max="25" width="14.33203125" style="15" customWidth="1"/>
    <col min="26" max="26" width="14.109375" style="15" bestFit="1" customWidth="1"/>
    <col min="27" max="27" width="10.88671875" style="15" bestFit="1" customWidth="1"/>
    <col min="28" max="30" width="12.6640625" style="15" bestFit="1" customWidth="1"/>
    <col min="31" max="32" width="14.109375" style="15" bestFit="1" customWidth="1"/>
    <col min="33" max="16384" width="8.88671875" style="15"/>
  </cols>
  <sheetData>
    <row r="1" spans="1:32" x14ac:dyDescent="0.25">
      <c r="B1" s="20"/>
      <c r="C1" s="20"/>
      <c r="D1" s="28"/>
    </row>
    <row r="2" spans="1:32" ht="17.399999999999999" x14ac:dyDescent="0.3">
      <c r="A2" s="14" t="s">
        <v>134</v>
      </c>
      <c r="B2" s="20"/>
      <c r="C2" s="20"/>
      <c r="D2" s="28"/>
    </row>
    <row r="5" spans="1:32" ht="15.6" thickBot="1" x14ac:dyDescent="0.3"/>
    <row r="6" spans="1:32" ht="15.6" x14ac:dyDescent="0.3">
      <c r="C6" s="481" t="s">
        <v>148</v>
      </c>
      <c r="D6" s="482"/>
      <c r="E6" s="482"/>
      <c r="F6" s="482"/>
      <c r="G6" s="482"/>
      <c r="H6" s="483"/>
      <c r="I6" s="479" t="s">
        <v>115</v>
      </c>
      <c r="J6" s="470"/>
      <c r="K6" s="470"/>
      <c r="L6" s="470"/>
      <c r="M6" s="470"/>
      <c r="N6" s="471"/>
      <c r="O6" s="470" t="s">
        <v>116</v>
      </c>
      <c r="P6" s="470"/>
      <c r="Q6" s="470"/>
      <c r="R6" s="470"/>
      <c r="S6" s="470"/>
      <c r="T6" s="480"/>
      <c r="U6" s="469" t="s">
        <v>76</v>
      </c>
      <c r="V6" s="470"/>
      <c r="W6" s="470"/>
      <c r="X6" s="470"/>
      <c r="Y6" s="470"/>
      <c r="Z6" s="470"/>
      <c r="AA6" s="469" t="s">
        <v>260</v>
      </c>
      <c r="AB6" s="470"/>
      <c r="AC6" s="470"/>
      <c r="AD6" s="470"/>
      <c r="AE6" s="470"/>
      <c r="AF6" s="471"/>
    </row>
    <row r="7" spans="1:32" ht="16.2" thickBot="1" x14ac:dyDescent="0.35">
      <c r="A7" s="22" t="s">
        <v>13</v>
      </c>
      <c r="B7" s="22" t="s">
        <v>1</v>
      </c>
      <c r="C7" s="201" t="s">
        <v>178</v>
      </c>
      <c r="D7" s="33" t="s">
        <v>179</v>
      </c>
      <c r="E7" s="33" t="s">
        <v>180</v>
      </c>
      <c r="F7" s="34" t="s">
        <v>117</v>
      </c>
      <c r="G7" s="34" t="s">
        <v>118</v>
      </c>
      <c r="H7" s="202" t="s">
        <v>119</v>
      </c>
      <c r="I7" s="201" t="s">
        <v>178</v>
      </c>
      <c r="J7" s="33" t="s">
        <v>179</v>
      </c>
      <c r="K7" s="33" t="s">
        <v>180</v>
      </c>
      <c r="L7" s="34" t="s">
        <v>117</v>
      </c>
      <c r="M7" s="34" t="s">
        <v>118</v>
      </c>
      <c r="N7" s="202" t="s">
        <v>119</v>
      </c>
      <c r="O7" s="33" t="s">
        <v>178</v>
      </c>
      <c r="P7" s="33" t="s">
        <v>179</v>
      </c>
      <c r="Q7" s="33" t="s">
        <v>180</v>
      </c>
      <c r="R7" s="34" t="s">
        <v>117</v>
      </c>
      <c r="S7" s="34" t="s">
        <v>118</v>
      </c>
      <c r="T7" s="35" t="s">
        <v>119</v>
      </c>
      <c r="U7" s="32" t="s">
        <v>178</v>
      </c>
      <c r="V7" s="33" t="s">
        <v>179</v>
      </c>
      <c r="W7" s="33" t="s">
        <v>180</v>
      </c>
      <c r="X7" s="34" t="s">
        <v>117</v>
      </c>
      <c r="Y7" s="34" t="s">
        <v>118</v>
      </c>
      <c r="Z7" s="35" t="s">
        <v>119</v>
      </c>
      <c r="AA7" s="32" t="s">
        <v>178</v>
      </c>
      <c r="AB7" s="33" t="s">
        <v>179</v>
      </c>
      <c r="AC7" s="33" t="s">
        <v>180</v>
      </c>
      <c r="AD7" s="34" t="s">
        <v>117</v>
      </c>
      <c r="AE7" s="34" t="s">
        <v>118</v>
      </c>
      <c r="AF7" s="202" t="s">
        <v>119</v>
      </c>
    </row>
    <row r="8" spans="1:32" x14ac:dyDescent="0.25">
      <c r="A8" s="54" t="s">
        <v>256</v>
      </c>
      <c r="B8" s="55" t="s">
        <v>193</v>
      </c>
      <c r="C8" s="225">
        <v>0.25</v>
      </c>
      <c r="D8" s="226">
        <v>0.25</v>
      </c>
      <c r="E8" s="226">
        <v>0.25</v>
      </c>
      <c r="F8" s="226">
        <v>0.25</v>
      </c>
      <c r="G8" s="226">
        <v>0.25</v>
      </c>
      <c r="H8" s="227">
        <v>0.25</v>
      </c>
      <c r="I8" s="393">
        <v>75</v>
      </c>
      <c r="J8" s="394">
        <v>100</v>
      </c>
      <c r="K8" s="394">
        <v>200</v>
      </c>
      <c r="L8" s="394">
        <v>400</v>
      </c>
      <c r="M8" s="394">
        <v>800</v>
      </c>
      <c r="N8" s="359">
        <v>1500</v>
      </c>
      <c r="O8" s="214">
        <f>'Key Inputs &amp; Outputs (BD)'!E$23</f>
        <v>360</v>
      </c>
      <c r="P8" s="211">
        <f>'Key Inputs &amp; Outputs (BD)'!F18*'Key Inputs &amp; Outputs (BD)'!F11</f>
        <v>360</v>
      </c>
      <c r="Q8" s="211">
        <f>'Key Inputs &amp; Outputs (BD)'!G18*'Key Inputs &amp; Outputs (BD)'!G11</f>
        <v>360</v>
      </c>
      <c r="R8" s="211">
        <f>'Key Inputs &amp; Outputs (BD)'!H18*'Key Inputs &amp; Outputs (BD)'!H11</f>
        <v>360</v>
      </c>
      <c r="S8" s="211">
        <f>'Key Inputs &amp; Outputs (BD)'!I18*'Key Inputs &amp; Outputs (BD)'!I11</f>
        <v>360</v>
      </c>
      <c r="T8" s="212">
        <f>'Key Inputs &amp; Outputs (BD)'!J18*'Key Inputs &amp; Outputs (BD)'!J11</f>
        <v>360</v>
      </c>
      <c r="U8" s="184">
        <f>I8*O8</f>
        <v>27000</v>
      </c>
      <c r="V8" s="165">
        <f t="shared" ref="V8:Z8" si="0">J8*P8</f>
        <v>36000</v>
      </c>
      <c r="W8" s="165">
        <f t="shared" si="0"/>
        <v>72000</v>
      </c>
      <c r="X8" s="165">
        <f t="shared" si="0"/>
        <v>144000</v>
      </c>
      <c r="Y8" s="165">
        <f t="shared" si="0"/>
        <v>288000</v>
      </c>
      <c r="Z8" s="191">
        <f t="shared" si="0"/>
        <v>540000</v>
      </c>
      <c r="AA8" s="187">
        <f>(1+'Financial assumptions'!$C$11)^(('Key Inputs &amp; Outputs (BD)'!E$21-C8*'Key Inputs &amp; Outputs (BD)'!E$21)/12)*U8</f>
        <v>28487.028466622953</v>
      </c>
      <c r="AB8" s="166">
        <f>(1+'Financial assumptions'!$C$11)^(('Key Inputs &amp; Outputs (BD)'!F$21-D8*'Key Inputs &amp; Outputs (BD)'!F$21)/12)*V8</f>
        <v>38667.581951181899</v>
      </c>
      <c r="AC8" s="166">
        <f>(1+'Financial assumptions'!$C$11)^(('Key Inputs &amp; Outputs (BD)'!G$21-E8*'Key Inputs &amp; Outputs (BD)'!G$21)/12)*W8</f>
        <v>78729.617009889756</v>
      </c>
      <c r="AD8" s="166">
        <f>(1+'Financial assumptions'!$C$11)^(('Key Inputs &amp; Outputs (BD)'!H$21-F8*'Key Inputs &amp; Outputs (BD)'!H$21)/12)*X8</f>
        <v>160298.4278238393</v>
      </c>
      <c r="AE8" s="166">
        <f>(1+'Financial assumptions'!$C$11)^(('Key Inputs &amp; Outputs (BD)'!I$21-G8*'Key Inputs &amp; Outputs (BD)'!I$21)/12)*Y8</f>
        <v>326377.63193445769</v>
      </c>
      <c r="AF8" s="167">
        <f>(1+'Financial assumptions'!$C$11)^(('Key Inputs &amp; Outputs (BD)'!J$21-H8*'Key Inputs &amp; Outputs (BD)'!J$21)/12)*Z8</f>
        <v>622992.45581307018</v>
      </c>
    </row>
    <row r="9" spans="1:32" x14ac:dyDescent="0.25">
      <c r="A9" s="56" t="s">
        <v>261</v>
      </c>
      <c r="B9" s="57" t="s">
        <v>193</v>
      </c>
      <c r="C9" s="228">
        <v>0.55000000000000004</v>
      </c>
      <c r="D9" s="228">
        <v>0.55000000000000004</v>
      </c>
      <c r="E9" s="228">
        <v>0.55000000000000004</v>
      </c>
      <c r="F9" s="228">
        <v>0.55000000000000004</v>
      </c>
      <c r="G9" s="228">
        <v>0.55000000000000004</v>
      </c>
      <c r="H9" s="228">
        <v>0.55000000000000004</v>
      </c>
      <c r="I9" s="391">
        <v>1750</v>
      </c>
      <c r="J9" s="357">
        <v>1850</v>
      </c>
      <c r="K9" s="357">
        <v>1950</v>
      </c>
      <c r="L9" s="357">
        <v>2800</v>
      </c>
      <c r="M9" s="357">
        <v>3400</v>
      </c>
      <c r="N9" s="360">
        <v>3800</v>
      </c>
      <c r="O9" s="215">
        <f>'Key Inputs &amp; Outputs (BD)'!E$22</f>
        <v>360</v>
      </c>
      <c r="P9" s="210">
        <f>'Key Inputs &amp; Outputs (BD)'!F22</f>
        <v>612</v>
      </c>
      <c r="Q9" s="210">
        <f>'Key Inputs &amp; Outputs (BD)'!G22</f>
        <v>720.00000000000011</v>
      </c>
      <c r="R9" s="210">
        <f>'Key Inputs &amp; Outputs (BD)'!H22</f>
        <v>1080</v>
      </c>
      <c r="S9" s="210">
        <f>'Key Inputs &amp; Outputs (BD)'!I22</f>
        <v>2550</v>
      </c>
      <c r="T9" s="213">
        <f>'Key Inputs &amp; Outputs (BD)'!J22</f>
        <v>4320</v>
      </c>
      <c r="U9" s="185">
        <f>O9*I9</f>
        <v>630000</v>
      </c>
      <c r="V9" s="163">
        <f t="shared" ref="V9:Z9" si="1">P9*J9</f>
        <v>1132200</v>
      </c>
      <c r="W9" s="163">
        <f t="shared" si="1"/>
        <v>1404000.0000000002</v>
      </c>
      <c r="X9" s="163">
        <f t="shared" si="1"/>
        <v>3024000</v>
      </c>
      <c r="Y9" s="163">
        <f t="shared" si="1"/>
        <v>8670000</v>
      </c>
      <c r="Z9" s="193">
        <f t="shared" si="1"/>
        <v>16416000</v>
      </c>
      <c r="AA9" s="188">
        <f>(1+'Financial assumptions'!$C$11)^(('Key Inputs &amp; Outputs (BD)'!E$21-C9*'Key Inputs &amp; Outputs (BD)'!E$21)/12)*U9</f>
        <v>650594.78938517056</v>
      </c>
      <c r="AB9" s="164">
        <f>(1+'Financial assumptions'!$C$11)^(('Key Inputs &amp; Outputs (BD)'!F$21-D9*'Key Inputs &amp; Outputs (BD)'!F$21)/12)*V9</f>
        <v>1181815.9823020136</v>
      </c>
      <c r="AC9" s="164">
        <f>(1+'Financial assumptions'!$C$11)^(('Key Inputs &amp; Outputs (BD)'!G$21-E9*'Key Inputs &amp; Outputs (BD)'!G$21)/12)*W9</f>
        <v>1481325.4802643938</v>
      </c>
      <c r="AD9" s="164">
        <f>(1+'Financial assumptions'!$C$11)^(('Key Inputs &amp; Outputs (BD)'!H$21-F9*'Key Inputs &amp; Outputs (BD)'!H$21)/12)*X9</f>
        <v>3224941.56171531</v>
      </c>
      <c r="AE9" s="164">
        <f>(1+'Financial assumptions'!$C$11)^(('Key Inputs &amp; Outputs (BD)'!I$21-G9*'Key Inputs &amp; Outputs (BD)'!I$21)/12)*Y9</f>
        <v>9345786.1015749425</v>
      </c>
      <c r="AF9" s="168">
        <f>(1+'Financial assumptions'!$C$11)^(('Key Inputs &amp; Outputs (BD)'!J$21-H9*'Key Inputs &amp; Outputs (BD)'!J$21)/12)*Z9</f>
        <v>17886310.269134548</v>
      </c>
    </row>
    <row r="10" spans="1:32" x14ac:dyDescent="0.25">
      <c r="A10" s="290" t="s">
        <v>257</v>
      </c>
      <c r="B10" s="291" t="s">
        <v>193</v>
      </c>
      <c r="C10" s="228">
        <v>0.55000000000000004</v>
      </c>
      <c r="D10" s="228">
        <v>0.55000000000000004</v>
      </c>
      <c r="E10" s="228">
        <v>0.55000000000000004</v>
      </c>
      <c r="F10" s="228">
        <v>0.55000000000000004</v>
      </c>
      <c r="G10" s="228">
        <v>0.55000000000000004</v>
      </c>
      <c r="H10" s="228">
        <v>0.55000000000000004</v>
      </c>
      <c r="I10" s="395">
        <v>100</v>
      </c>
      <c r="J10" s="396">
        <v>100</v>
      </c>
      <c r="K10" s="396">
        <v>100</v>
      </c>
      <c r="L10" s="396">
        <v>100</v>
      </c>
      <c r="M10" s="396">
        <v>100</v>
      </c>
      <c r="N10" s="397">
        <v>100</v>
      </c>
      <c r="O10" s="292">
        <f>'Key Inputs &amp; Outputs (BD)'!E$24</f>
        <v>120</v>
      </c>
      <c r="P10" s="293">
        <f>'Key Inputs &amp; Outputs (BD)'!F$24</f>
        <v>120</v>
      </c>
      <c r="Q10" s="293">
        <f>'Key Inputs &amp; Outputs (BD)'!G$24</f>
        <v>120</v>
      </c>
      <c r="R10" s="293">
        <f>'Key Inputs &amp; Outputs (BD)'!H$24</f>
        <v>120</v>
      </c>
      <c r="S10" s="293">
        <f>'Key Inputs &amp; Outputs (BD)'!I$24</f>
        <v>120</v>
      </c>
      <c r="T10" s="294">
        <f>'Key Inputs &amp; Outputs (BD)'!J$24</f>
        <v>120</v>
      </c>
      <c r="U10" s="185">
        <f>O10*I10</f>
        <v>12000</v>
      </c>
      <c r="V10" s="163">
        <f t="shared" ref="V10" si="2">P10*J10</f>
        <v>12000</v>
      </c>
      <c r="W10" s="163">
        <f t="shared" ref="W10" si="3">Q10*K10</f>
        <v>12000</v>
      </c>
      <c r="X10" s="163">
        <f t="shared" ref="X10" si="4">R10*L10</f>
        <v>12000</v>
      </c>
      <c r="Y10" s="163">
        <f t="shared" ref="Y10" si="5">S10*M10</f>
        <v>12000</v>
      </c>
      <c r="Z10" s="193">
        <f t="shared" ref="Z10" si="6">T10*N10</f>
        <v>12000</v>
      </c>
      <c r="AA10" s="188">
        <f>(1+'Financial assumptions'!$C$11)^(('Key Inputs &amp; Outputs (BD)'!E$21-C10*'Key Inputs &amp; Outputs (BD)'!E$21)/12)*U10</f>
        <v>12392.281702574677</v>
      </c>
      <c r="AB10" s="164">
        <f>(1+'Financial assumptions'!$C$11)^(('Key Inputs &amp; Outputs (BD)'!F$21-D10*'Key Inputs &amp; Outputs (BD)'!F$21)/12)*V10</f>
        <v>12525.871566529026</v>
      </c>
      <c r="AC10" s="164">
        <f>(1+'Financial assumptions'!$C$11)^(('Key Inputs &amp; Outputs (BD)'!G$21-E10*'Key Inputs &amp; Outputs (BD)'!G$21)/12)*W10</f>
        <v>12660.901540721314</v>
      </c>
      <c r="AD10" s="164">
        <f>(1+'Financial assumptions'!$C$11)^(('Key Inputs &amp; Outputs (BD)'!H$21-F10*'Key Inputs &amp; Outputs (BD)'!H$21)/12)*X10</f>
        <v>12797.387149663929</v>
      </c>
      <c r="AE10" s="164">
        <f>(1+'Financial assumptions'!$C$11)^(('Key Inputs &amp; Outputs (BD)'!I$21-G10*'Key Inputs &amp; Outputs (BD)'!I$21)/12)*Y10</f>
        <v>12935.344085224835</v>
      </c>
      <c r="AF10" s="168">
        <f>(1+'Financial assumptions'!$C$11)^(('Key Inputs &amp; Outputs (BD)'!J$21-H10*'Key Inputs &amp; Outputs (BD)'!J$21)/12)*Z10</f>
        <v>13074.788208431688</v>
      </c>
    </row>
    <row r="11" spans="1:32" x14ac:dyDescent="0.25">
      <c r="A11" s="290" t="s">
        <v>272</v>
      </c>
      <c r="B11" s="291" t="s">
        <v>193</v>
      </c>
      <c r="C11" s="228">
        <v>0.55000000000000004</v>
      </c>
      <c r="D11" s="228">
        <v>0.55000000000000004</v>
      </c>
      <c r="E11" s="228">
        <v>0.55000000000000004</v>
      </c>
      <c r="F11" s="228">
        <v>0.55000000000000004</v>
      </c>
      <c r="G11" s="228">
        <v>0.55000000000000004</v>
      </c>
      <c r="H11" s="228">
        <v>0.55000000000000004</v>
      </c>
      <c r="I11" s="395">
        <v>100</v>
      </c>
      <c r="J11" s="396">
        <v>100</v>
      </c>
      <c r="K11" s="396">
        <v>100</v>
      </c>
      <c r="L11" s="396">
        <v>100</v>
      </c>
      <c r="M11" s="396">
        <v>100</v>
      </c>
      <c r="N11" s="397">
        <v>100</v>
      </c>
      <c r="O11" s="292">
        <f>'Key Inputs &amp; Outputs (BD)'!E$25</f>
        <v>320</v>
      </c>
      <c r="P11" s="293">
        <f>'Key Inputs &amp; Outputs (BD)'!F$25</f>
        <v>320</v>
      </c>
      <c r="Q11" s="293">
        <f>'Key Inputs &amp; Outputs (BD)'!G$25</f>
        <v>320</v>
      </c>
      <c r="R11" s="293">
        <f>'Key Inputs &amp; Outputs (BD)'!H$25</f>
        <v>320</v>
      </c>
      <c r="S11" s="293">
        <f>'Key Inputs &amp; Outputs (BD)'!I$25</f>
        <v>320</v>
      </c>
      <c r="T11" s="294">
        <f>'Key Inputs &amp; Outputs (BD)'!J$25</f>
        <v>320</v>
      </c>
      <c r="U11" s="185">
        <f>O11*I11</f>
        <v>32000</v>
      </c>
      <c r="V11" s="163">
        <f t="shared" ref="V11" si="7">P11*J11</f>
        <v>32000</v>
      </c>
      <c r="W11" s="163">
        <f t="shared" ref="W11" si="8">Q11*K11</f>
        <v>32000</v>
      </c>
      <c r="X11" s="163">
        <f t="shared" ref="X11" si="9">R11*L11</f>
        <v>32000</v>
      </c>
      <c r="Y11" s="163">
        <f t="shared" ref="Y11" si="10">S11*M11</f>
        <v>32000</v>
      </c>
      <c r="Z11" s="193">
        <f t="shared" ref="Z11" si="11">T11*N11</f>
        <v>32000</v>
      </c>
      <c r="AA11" s="188">
        <f>(1+'Financial assumptions'!$C$11)^(('Key Inputs &amp; Outputs (BD)'!E$21-C11*'Key Inputs &amp; Outputs (BD)'!E$21)/12)*U11</f>
        <v>33046.084540199139</v>
      </c>
      <c r="AB11" s="164">
        <f>(1+'Financial assumptions'!$C$11)^(('Key Inputs &amp; Outputs (BD)'!F$21-D11*'Key Inputs &amp; Outputs (BD)'!F$21)/12)*V11</f>
        <v>33402.32417741073</v>
      </c>
      <c r="AC11" s="164">
        <f>(1+'Financial assumptions'!$C$11)^(('Key Inputs &amp; Outputs (BD)'!G$21-E11*'Key Inputs &amp; Outputs (BD)'!G$21)/12)*W11</f>
        <v>33762.40410859017</v>
      </c>
      <c r="AD11" s="164">
        <f>(1+'Financial assumptions'!$C$11)^(('Key Inputs &amp; Outputs (BD)'!H$21-F11*'Key Inputs &amp; Outputs (BD)'!H$21)/12)*X11</f>
        <v>34126.365732437145</v>
      </c>
      <c r="AE11" s="164">
        <f>(1+'Financial assumptions'!$C$11)^(('Key Inputs &amp; Outputs (BD)'!I$21-G11*'Key Inputs &amp; Outputs (BD)'!I$21)/12)*Y11</f>
        <v>34494.250893932891</v>
      </c>
      <c r="AF11" s="168">
        <f>(1+'Financial assumptions'!$C$11)^(('Key Inputs &amp; Outputs (BD)'!J$21-H11*'Key Inputs &amp; Outputs (BD)'!J$21)/12)*Z11</f>
        <v>34866.10188915117</v>
      </c>
    </row>
    <row r="12" spans="1:32" ht="15.6" thickBot="1" x14ac:dyDescent="0.3">
      <c r="A12" s="58" t="s">
        <v>194</v>
      </c>
      <c r="B12" s="59"/>
      <c r="C12" s="229">
        <v>0.6</v>
      </c>
      <c r="D12" s="218">
        <v>0.6</v>
      </c>
      <c r="E12" s="218">
        <v>0.6</v>
      </c>
      <c r="F12" s="218">
        <v>0.6</v>
      </c>
      <c r="G12" s="218">
        <v>0.6</v>
      </c>
      <c r="H12" s="230">
        <v>0.6</v>
      </c>
      <c r="I12" s="223">
        <v>7.0000000000000007E-2</v>
      </c>
      <c r="J12" s="218">
        <f>I12+0.01</f>
        <v>0.08</v>
      </c>
      <c r="K12" s="218">
        <f t="shared" ref="K12:N12" si="12">J12+0.01</f>
        <v>0.09</v>
      </c>
      <c r="L12" s="218">
        <f t="shared" si="12"/>
        <v>9.9999999999999992E-2</v>
      </c>
      <c r="M12" s="218">
        <f t="shared" si="12"/>
        <v>0.10999999999999999</v>
      </c>
      <c r="N12" s="224">
        <f t="shared" si="12"/>
        <v>0.11999999999999998</v>
      </c>
      <c r="O12" s="200"/>
      <c r="P12" s="196"/>
      <c r="Q12" s="196"/>
      <c r="R12" s="196"/>
      <c r="S12" s="196"/>
      <c r="T12" s="197"/>
      <c r="U12" s="186">
        <f>I12*SUM(U8:U11)</f>
        <v>49070.000000000007</v>
      </c>
      <c r="V12" s="169">
        <f t="shared" ref="V12:Z12" si="13">J12*SUM(V8:V11)</f>
        <v>96976</v>
      </c>
      <c r="W12" s="169">
        <f t="shared" si="13"/>
        <v>136800.00000000003</v>
      </c>
      <c r="X12" s="169">
        <f t="shared" si="13"/>
        <v>321200</v>
      </c>
      <c r="Y12" s="169">
        <f t="shared" si="13"/>
        <v>990219.99999999988</v>
      </c>
      <c r="Z12" s="195">
        <f t="shared" si="13"/>
        <v>2039999.9999999998</v>
      </c>
      <c r="AA12" s="189">
        <f>(1+'Financial assumptions'!$C$11)^(('Key Inputs &amp; Outputs (BD)'!E$21-C12*'Key Inputs &amp; Outputs (BD)'!E$21)/12)*U12</f>
        <v>50493.31261479314</v>
      </c>
      <c r="AB12" s="170">
        <f>(1+'Financial assumptions'!$C$11)^(('Key Inputs &amp; Outputs (BD)'!F$21-D12*'Key Inputs &amp; Outputs (BD)'!F$21)/12)*V12</f>
        <v>100744.49882780811</v>
      </c>
      <c r="AC12" s="170">
        <f>(1+'Financial assumptions'!$C$11)^(('Key Inputs &amp; Outputs (BD)'!G$21-E12*'Key Inputs &amp; Outputs (BD)'!G$21)/12)*W12</f>
        <v>143477.05042967678</v>
      </c>
      <c r="AD12" s="170">
        <f>(1+'Financial assumptions'!$C$11)^(('Key Inputs &amp; Outputs (BD)'!H$21-F12*'Key Inputs &amp; Outputs (BD)'!H$21)/12)*X12</f>
        <v>340103.53635847726</v>
      </c>
      <c r="AE12" s="170">
        <f>(1+'Financial assumptions'!$C$11)^(('Key Inputs &amp; Outputs (BD)'!I$21-G12*'Key Inputs &amp; Outputs (BD)'!I$21)/12)*Y12</f>
        <v>1058538.292937051</v>
      </c>
      <c r="AF12" s="171">
        <f>(1+'Financial assumptions'!$C$11)^(('Key Inputs &amp; Outputs (BD)'!J$21-H12*'Key Inputs &amp; Outputs (BD)'!J$21)/12)*Z12</f>
        <v>2201629.9044097373</v>
      </c>
    </row>
    <row r="13" spans="1:32" ht="15.6" thickBot="1" x14ac:dyDescent="0.3">
      <c r="C13" s="20"/>
      <c r="D13" s="20"/>
      <c r="E13" s="20"/>
      <c r="F13" s="20"/>
      <c r="G13" s="20"/>
      <c r="H13" s="20"/>
      <c r="I13" s="28"/>
      <c r="J13" s="20"/>
    </row>
    <row r="14" spans="1:32" ht="16.2" thickBot="1" x14ac:dyDescent="0.3">
      <c r="A14" s="295" t="s">
        <v>195</v>
      </c>
      <c r="B14" s="296"/>
      <c r="C14" s="296"/>
      <c r="D14" s="296"/>
      <c r="E14" s="296"/>
      <c r="F14" s="296"/>
      <c r="G14" s="296"/>
      <c r="H14" s="296"/>
      <c r="I14" s="296"/>
      <c r="J14" s="296"/>
      <c r="K14" s="296"/>
      <c r="L14" s="296"/>
      <c r="M14" s="296"/>
      <c r="N14" s="296"/>
      <c r="O14" s="296"/>
      <c r="P14" s="296"/>
      <c r="Q14" s="296"/>
      <c r="R14" s="296"/>
      <c r="S14" s="296"/>
      <c r="T14" s="297"/>
      <c r="U14" s="199">
        <f>SUM(U8:U12)</f>
        <v>750070</v>
      </c>
      <c r="V14" s="199">
        <f t="shared" ref="V14:AF14" si="14">SUM(V8:V12)</f>
        <v>1309176</v>
      </c>
      <c r="W14" s="199">
        <f t="shared" si="14"/>
        <v>1656800.0000000002</v>
      </c>
      <c r="X14" s="199">
        <f t="shared" si="14"/>
        <v>3533200</v>
      </c>
      <c r="Y14" s="199">
        <f t="shared" si="14"/>
        <v>9992220</v>
      </c>
      <c r="Z14" s="199">
        <f t="shared" si="14"/>
        <v>19040000</v>
      </c>
      <c r="AA14" s="199">
        <f t="shared" si="14"/>
        <v>775013.49670936051</v>
      </c>
      <c r="AB14" s="199">
        <f t="shared" si="14"/>
        <v>1367156.2588249431</v>
      </c>
      <c r="AC14" s="199">
        <f t="shared" si="14"/>
        <v>1749955.4533532718</v>
      </c>
      <c r="AD14" s="199">
        <f t="shared" si="14"/>
        <v>3772267.2787797274</v>
      </c>
      <c r="AE14" s="199">
        <f t="shared" si="14"/>
        <v>10778131.62142561</v>
      </c>
      <c r="AF14" s="199">
        <f t="shared" si="14"/>
        <v>20758873.519454937</v>
      </c>
    </row>
    <row r="16" spans="1:32" ht="15.6" x14ac:dyDescent="0.3">
      <c r="A16" s="24" t="s">
        <v>259</v>
      </c>
      <c r="B16" s="20"/>
      <c r="C16" s="20"/>
      <c r="D16" s="28"/>
      <c r="L16" s="335" t="s">
        <v>40</v>
      </c>
      <c r="M16" s="335"/>
      <c r="N16" s="10"/>
      <c r="O16" s="10"/>
      <c r="P16" s="10"/>
      <c r="Q16" s="10"/>
      <c r="X16" s="13" t="s">
        <v>129</v>
      </c>
    </row>
    <row r="17" spans="1:25" ht="17.399999999999999" x14ac:dyDescent="0.3">
      <c r="A17" s="15" t="s">
        <v>224</v>
      </c>
      <c r="B17" s="20"/>
      <c r="C17" s="20"/>
      <c r="D17" s="28"/>
      <c r="L17" s="341"/>
      <c r="M17" s="349" t="s">
        <v>303</v>
      </c>
      <c r="N17" s="349"/>
      <c r="O17" s="349"/>
      <c r="P17" s="349"/>
      <c r="Q17" s="349"/>
      <c r="X17" s="15" t="s">
        <v>178</v>
      </c>
      <c r="Y17" s="15" t="s">
        <v>42</v>
      </c>
    </row>
    <row r="18" spans="1:25" ht="17.399999999999999" x14ac:dyDescent="0.3">
      <c r="A18" s="298" t="s">
        <v>262</v>
      </c>
      <c r="B18" s="20"/>
      <c r="C18" s="20"/>
      <c r="D18" s="28"/>
      <c r="L18" s="343"/>
      <c r="M18" s="349" t="s">
        <v>304</v>
      </c>
      <c r="N18" s="349"/>
      <c r="O18" s="349"/>
      <c r="P18" s="349"/>
      <c r="Q18" s="349"/>
      <c r="X18" s="15" t="s">
        <v>179</v>
      </c>
      <c r="Y18" s="15" t="s">
        <v>48</v>
      </c>
    </row>
    <row r="19" spans="1:25" ht="17.399999999999999" x14ac:dyDescent="0.3">
      <c r="A19" s="298" t="s">
        <v>263</v>
      </c>
      <c r="B19" s="20"/>
      <c r="C19" s="20"/>
      <c r="D19" s="28"/>
      <c r="L19" s="344"/>
      <c r="M19" s="349" t="s">
        <v>306</v>
      </c>
      <c r="N19" s="349"/>
      <c r="O19" s="349"/>
      <c r="P19" s="349"/>
      <c r="Q19" s="349"/>
      <c r="X19" s="15" t="s">
        <v>180</v>
      </c>
      <c r="Y19" s="15" t="s">
        <v>174</v>
      </c>
    </row>
    <row r="20" spans="1:25" ht="17.399999999999999" x14ac:dyDescent="0.3">
      <c r="B20" s="20"/>
      <c r="C20" s="20"/>
      <c r="D20" s="28"/>
      <c r="L20" s="346"/>
      <c r="M20" s="349" t="s">
        <v>305</v>
      </c>
      <c r="N20" s="349"/>
      <c r="O20" s="349"/>
      <c r="P20" s="349"/>
      <c r="Q20" s="349"/>
      <c r="X20" s="15" t="s">
        <v>117</v>
      </c>
      <c r="Y20" s="15" t="s">
        <v>130</v>
      </c>
    </row>
    <row r="21" spans="1:25" ht="17.399999999999999" x14ac:dyDescent="0.3">
      <c r="B21" s="20"/>
      <c r="C21" s="20"/>
      <c r="D21" s="28"/>
      <c r="L21" s="347"/>
      <c r="M21" s="349" t="s">
        <v>171</v>
      </c>
      <c r="N21" s="349"/>
      <c r="O21" s="349"/>
      <c r="P21" s="349"/>
      <c r="Q21" s="349"/>
      <c r="X21" s="15" t="s">
        <v>118</v>
      </c>
      <c r="Y21" s="15" t="s">
        <v>131</v>
      </c>
    </row>
    <row r="22" spans="1:25" x14ac:dyDescent="0.25">
      <c r="B22" s="20"/>
      <c r="C22" s="20"/>
      <c r="D22" s="28"/>
      <c r="L22" s="20"/>
      <c r="M22" s="20"/>
      <c r="N22" s="28"/>
      <c r="X22" s="15" t="s">
        <v>119</v>
      </c>
      <c r="Y22" s="15" t="s">
        <v>132</v>
      </c>
    </row>
  </sheetData>
  <mergeCells count="5">
    <mergeCell ref="I6:N6"/>
    <mergeCell ref="O6:T6"/>
    <mergeCell ref="U6:Z6"/>
    <mergeCell ref="AA6:AF6"/>
    <mergeCell ref="C6:H6"/>
  </mergeCells>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theme="5"/>
  </sheetPr>
  <dimension ref="A1:AF32"/>
  <sheetViews>
    <sheetView showGridLines="0" workbookViewId="0">
      <selection activeCell="W30" sqref="W30"/>
    </sheetView>
  </sheetViews>
  <sheetFormatPr defaultColWidth="8.88671875" defaultRowHeight="15" x14ac:dyDescent="0.25"/>
  <cols>
    <col min="1" max="1" width="35.109375" style="15" bestFit="1" customWidth="1"/>
    <col min="2" max="2" width="13.88671875" style="15" bestFit="1" customWidth="1"/>
    <col min="3" max="8" width="6.109375" style="15" bestFit="1" customWidth="1"/>
    <col min="9" max="11" width="9.5546875" style="15" bestFit="1" customWidth="1"/>
    <col min="12" max="12" width="14.5546875" style="15" customWidth="1"/>
    <col min="13" max="13" width="16.88671875" style="15" customWidth="1"/>
    <col min="14" max="14" width="9.5546875" style="15" bestFit="1" customWidth="1"/>
    <col min="15" max="15" width="3.44140625" style="15" bestFit="1" customWidth="1"/>
    <col min="16" max="16" width="3.88671875" style="15" bestFit="1" customWidth="1"/>
    <col min="17" max="17" width="3.44140625" style="15" bestFit="1" customWidth="1"/>
    <col min="18" max="19" width="4" style="15" bestFit="1" customWidth="1"/>
    <col min="20" max="20" width="5" style="15" bestFit="1" customWidth="1"/>
    <col min="21" max="23" width="10.88671875" style="15" bestFit="1" customWidth="1"/>
    <col min="24" max="26" width="12.6640625" style="15" bestFit="1" customWidth="1"/>
    <col min="27" max="27" width="12.109375" style="15" customWidth="1"/>
    <col min="28" max="29" width="10.88671875" style="15" bestFit="1" customWidth="1"/>
    <col min="30" max="32" width="12.6640625" style="15" bestFit="1" customWidth="1"/>
    <col min="33" max="16384" width="8.88671875" style="15"/>
  </cols>
  <sheetData>
    <row r="1" spans="1:32" x14ac:dyDescent="0.25">
      <c r="B1" s="20"/>
      <c r="C1" s="20"/>
      <c r="D1" s="28"/>
    </row>
    <row r="2" spans="1:32" ht="17.399999999999999" x14ac:dyDescent="0.3">
      <c r="A2" s="14" t="s">
        <v>135</v>
      </c>
      <c r="B2" s="20"/>
      <c r="C2" s="20"/>
      <c r="D2" s="28"/>
    </row>
    <row r="5" spans="1:32" ht="15.6" thickBot="1" x14ac:dyDescent="0.3"/>
    <row r="6" spans="1:32" ht="15.6" x14ac:dyDescent="0.3">
      <c r="C6" s="476" t="s">
        <v>152</v>
      </c>
      <c r="D6" s="477"/>
      <c r="E6" s="477"/>
      <c r="F6" s="477"/>
      <c r="G6" s="477"/>
      <c r="H6" s="478"/>
      <c r="I6" s="473" t="s">
        <v>115</v>
      </c>
      <c r="J6" s="474"/>
      <c r="K6" s="474"/>
      <c r="L6" s="474"/>
      <c r="M6" s="474"/>
      <c r="N6" s="475"/>
      <c r="O6" s="473" t="s">
        <v>116</v>
      </c>
      <c r="P6" s="474"/>
      <c r="Q6" s="474"/>
      <c r="R6" s="474"/>
      <c r="S6" s="474"/>
      <c r="T6" s="474"/>
      <c r="U6" s="473" t="s">
        <v>76</v>
      </c>
      <c r="V6" s="474"/>
      <c r="W6" s="474"/>
      <c r="X6" s="474"/>
      <c r="Y6" s="474"/>
      <c r="Z6" s="475"/>
      <c r="AA6" s="469" t="s">
        <v>260</v>
      </c>
      <c r="AB6" s="470"/>
      <c r="AC6" s="470"/>
      <c r="AD6" s="470"/>
      <c r="AE6" s="470"/>
      <c r="AF6" s="471"/>
    </row>
    <row r="7" spans="1:32" ht="16.2" thickBot="1" x14ac:dyDescent="0.35">
      <c r="A7" s="22" t="s">
        <v>13</v>
      </c>
      <c r="B7" s="22" t="s">
        <v>1</v>
      </c>
      <c r="C7" s="32" t="s">
        <v>178</v>
      </c>
      <c r="D7" s="33" t="s">
        <v>179</v>
      </c>
      <c r="E7" s="33" t="s">
        <v>180</v>
      </c>
      <c r="F7" s="34" t="s">
        <v>117</v>
      </c>
      <c r="G7" s="34" t="s">
        <v>118</v>
      </c>
      <c r="H7" s="35" t="s">
        <v>119</v>
      </c>
      <c r="I7" s="32" t="s">
        <v>178</v>
      </c>
      <c r="J7" s="33" t="s">
        <v>179</v>
      </c>
      <c r="K7" s="33" t="s">
        <v>180</v>
      </c>
      <c r="L7" s="34" t="s">
        <v>117</v>
      </c>
      <c r="M7" s="34" t="s">
        <v>118</v>
      </c>
      <c r="N7" s="35" t="s">
        <v>119</v>
      </c>
      <c r="O7" s="32" t="s">
        <v>178</v>
      </c>
      <c r="P7" s="33" t="s">
        <v>179</v>
      </c>
      <c r="Q7" s="33" t="s">
        <v>180</v>
      </c>
      <c r="R7" s="34" t="s">
        <v>117</v>
      </c>
      <c r="S7" s="34" t="s">
        <v>118</v>
      </c>
      <c r="T7" s="35" t="s">
        <v>119</v>
      </c>
      <c r="U7" s="32" t="s">
        <v>178</v>
      </c>
      <c r="V7" s="33" t="s">
        <v>179</v>
      </c>
      <c r="W7" s="33" t="s">
        <v>180</v>
      </c>
      <c r="X7" s="34" t="s">
        <v>117</v>
      </c>
      <c r="Y7" s="34" t="s">
        <v>118</v>
      </c>
      <c r="Z7" s="35" t="s">
        <v>119</v>
      </c>
      <c r="AA7" s="32" t="s">
        <v>178</v>
      </c>
      <c r="AB7" s="33" t="s">
        <v>179</v>
      </c>
      <c r="AC7" s="33" t="s">
        <v>180</v>
      </c>
      <c r="AD7" s="34" t="s">
        <v>117</v>
      </c>
      <c r="AE7" s="34" t="s">
        <v>118</v>
      </c>
      <c r="AF7" s="35" t="s">
        <v>119</v>
      </c>
    </row>
    <row r="8" spans="1:32" x14ac:dyDescent="0.25">
      <c r="A8" s="54" t="s">
        <v>28</v>
      </c>
      <c r="B8" s="89" t="s">
        <v>9</v>
      </c>
      <c r="C8" s="351">
        <v>0.25</v>
      </c>
      <c r="D8" s="226">
        <v>0.25</v>
      </c>
      <c r="E8" s="226">
        <v>0.25</v>
      </c>
      <c r="F8" s="226">
        <v>0.25</v>
      </c>
      <c r="G8" s="226">
        <v>0.25</v>
      </c>
      <c r="H8" s="398">
        <v>0.25</v>
      </c>
      <c r="I8" s="393">
        <v>1500</v>
      </c>
      <c r="J8" s="394">
        <v>1200</v>
      </c>
      <c r="K8" s="394">
        <v>1000</v>
      </c>
      <c r="L8" s="394">
        <v>800</v>
      </c>
      <c r="M8" s="394">
        <v>500</v>
      </c>
      <c r="N8" s="359">
        <v>400</v>
      </c>
      <c r="O8" s="206">
        <f>'Key Inputs &amp; Outputs (BD)'!E$15</f>
        <v>2</v>
      </c>
      <c r="P8" s="205">
        <f>'Key Inputs &amp; Outputs (BD)'!F$15</f>
        <v>4</v>
      </c>
      <c r="Q8" s="205">
        <f>'Key Inputs &amp; Outputs (BD)'!G$15</f>
        <v>6</v>
      </c>
      <c r="R8" s="205">
        <f>'Key Inputs &amp; Outputs (BD)'!H$15</f>
        <v>12</v>
      </c>
      <c r="S8" s="205">
        <f>'Key Inputs &amp; Outputs (BD)'!I$15</f>
        <v>30</v>
      </c>
      <c r="T8" s="207">
        <f>'Key Inputs &amp; Outputs (BD)'!J$15</f>
        <v>54</v>
      </c>
      <c r="U8" s="190">
        <f>O8*I8</f>
        <v>3000</v>
      </c>
      <c r="V8" s="165">
        <f>'3 Ancillary'!P8*'3 Ancillary'!J8</f>
        <v>4800</v>
      </c>
      <c r="W8" s="165">
        <f>'3 Ancillary'!Q8*'3 Ancillary'!K8</f>
        <v>6000</v>
      </c>
      <c r="X8" s="165">
        <f>'3 Ancillary'!R8*'3 Ancillary'!L8</f>
        <v>9600</v>
      </c>
      <c r="Y8" s="165">
        <f>'3 Ancillary'!S8*'3 Ancillary'!M8</f>
        <v>15000</v>
      </c>
      <c r="Z8" s="191">
        <f>'3 Ancillary'!T8*'3 Ancillary'!N8</f>
        <v>21600</v>
      </c>
      <c r="AA8" s="187">
        <f>(1+'Financial assumptions'!$C$11)^(('Key Inputs &amp; Outputs (BD)'!E$21-C8*'Key Inputs &amp; Outputs (BD)'!E$21)/12)*U8</f>
        <v>3165.2253851803284</v>
      </c>
      <c r="AB8" s="166">
        <f>(1+'Financial assumptions'!$C$11)^(('Key Inputs &amp; Outputs (BD)'!F$21-D8*'Key Inputs &amp; Outputs (BD)'!F$21)/12)*V8</f>
        <v>5155.6775934909201</v>
      </c>
      <c r="AC8" s="166">
        <f>(1+'Financial assumptions'!$C$11)^(('Key Inputs &amp; Outputs (BD)'!G$21-E8*'Key Inputs &amp; Outputs (BD)'!G$21)/12)*W8</f>
        <v>6560.8014174908139</v>
      </c>
      <c r="AD8" s="166">
        <f>(1+'Financial assumptions'!$C$11)^(('Key Inputs &amp; Outputs (BD)'!H$21-F8*'Key Inputs &amp; Outputs (BD)'!H$21)/12)*X8</f>
        <v>10686.56185492262</v>
      </c>
      <c r="AE8" s="166">
        <f>(1+'Financial assumptions'!$C$11)^(('Key Inputs &amp; Outputs (BD)'!I$21-G8*'Key Inputs &amp; Outputs (BD)'!I$21)/12)*Y8</f>
        <v>16998.834996586338</v>
      </c>
      <c r="AF8" s="167">
        <f>(1+'Financial assumptions'!$C$11)^(('Key Inputs &amp; Outputs (BD)'!J$21-H8*'Key Inputs &amp; Outputs (BD)'!J$21)/12)*Z8</f>
        <v>24919.698232522805</v>
      </c>
    </row>
    <row r="9" spans="1:32" x14ac:dyDescent="0.25">
      <c r="A9" s="56" t="s">
        <v>27</v>
      </c>
      <c r="B9" s="183" t="s">
        <v>9</v>
      </c>
      <c r="C9" s="231">
        <v>0.25</v>
      </c>
      <c r="D9" s="217">
        <v>0.25</v>
      </c>
      <c r="E9" s="217">
        <v>0.25</v>
      </c>
      <c r="F9" s="217">
        <v>0.25</v>
      </c>
      <c r="G9" s="217">
        <v>0.25</v>
      </c>
      <c r="H9" s="232">
        <v>0.25</v>
      </c>
      <c r="I9" s="391">
        <v>5000</v>
      </c>
      <c r="J9" s="357">
        <v>4000</v>
      </c>
      <c r="K9" s="357">
        <v>3500</v>
      </c>
      <c r="L9" s="357">
        <v>2500</v>
      </c>
      <c r="M9" s="357">
        <v>2000</v>
      </c>
      <c r="N9" s="360">
        <v>1500</v>
      </c>
      <c r="O9" s="142">
        <f>'Key Inputs &amp; Outputs (BD)'!E$15</f>
        <v>2</v>
      </c>
      <c r="P9" s="128">
        <f>'Key Inputs &amp; Outputs (BD)'!F$15</f>
        <v>4</v>
      </c>
      <c r="Q9" s="128">
        <f>'Key Inputs &amp; Outputs (BD)'!G$15</f>
        <v>6</v>
      </c>
      <c r="R9" s="128">
        <f>'Key Inputs &amp; Outputs (BD)'!H$15</f>
        <v>12</v>
      </c>
      <c r="S9" s="128">
        <f>'Key Inputs &amp; Outputs (BD)'!I$15</f>
        <v>30</v>
      </c>
      <c r="T9" s="208">
        <f>'Key Inputs &amp; Outputs (BD)'!J$15</f>
        <v>54</v>
      </c>
      <c r="U9" s="192">
        <f>O9*I9</f>
        <v>10000</v>
      </c>
      <c r="V9" s="163">
        <f>'3 Ancillary'!P9*'3 Ancillary'!J9</f>
        <v>16000</v>
      </c>
      <c r="W9" s="163">
        <f>'3 Ancillary'!Q9*'3 Ancillary'!K9</f>
        <v>21000</v>
      </c>
      <c r="X9" s="163">
        <f>'3 Ancillary'!R9*'3 Ancillary'!L9</f>
        <v>30000</v>
      </c>
      <c r="Y9" s="163">
        <f>'3 Ancillary'!S9*'3 Ancillary'!M9</f>
        <v>60000</v>
      </c>
      <c r="Z9" s="193">
        <f>'3 Ancillary'!T9*'3 Ancillary'!N9</f>
        <v>81000</v>
      </c>
      <c r="AA9" s="188">
        <f>(1+'Financial assumptions'!$C$11)^(('Key Inputs &amp; Outputs (BD)'!E$21-C9*'Key Inputs &amp; Outputs (BD)'!E$21)/12)*U9</f>
        <v>10550.751283934427</v>
      </c>
      <c r="AB9" s="164">
        <f>(1+'Financial assumptions'!$C$11)^(('Key Inputs &amp; Outputs (BD)'!F$21-D9*'Key Inputs &amp; Outputs (BD)'!F$21)/12)*V9</f>
        <v>17185.591978303066</v>
      </c>
      <c r="AC9" s="164">
        <f>(1+'Financial assumptions'!$C$11)^(('Key Inputs &amp; Outputs (BD)'!G$21-E9*'Key Inputs &amp; Outputs (BD)'!G$21)/12)*W9</f>
        <v>22962.804961217847</v>
      </c>
      <c r="AD9" s="164">
        <f>(1+'Financial assumptions'!$C$11)^(('Key Inputs &amp; Outputs (BD)'!H$21-F9*'Key Inputs &amp; Outputs (BD)'!H$21)/12)*X9</f>
        <v>33395.505796633188</v>
      </c>
      <c r="AE9" s="164">
        <f>(1+'Financial assumptions'!$C$11)^(('Key Inputs &amp; Outputs (BD)'!I$21-G9*'Key Inputs &amp; Outputs (BD)'!I$21)/12)*Y9</f>
        <v>67995.339986345352</v>
      </c>
      <c r="AF9" s="168">
        <f>(1+'Financial assumptions'!$C$11)^(('Key Inputs &amp; Outputs (BD)'!J$21-H9*'Key Inputs &amp; Outputs (BD)'!J$21)/12)*Z9</f>
        <v>93448.868371960518</v>
      </c>
    </row>
    <row r="10" spans="1:32" x14ac:dyDescent="0.25">
      <c r="A10" s="56" t="s">
        <v>26</v>
      </c>
      <c r="B10" s="183" t="s">
        <v>9</v>
      </c>
      <c r="C10" s="231">
        <v>0.25</v>
      </c>
      <c r="D10" s="217">
        <v>0.25</v>
      </c>
      <c r="E10" s="217">
        <v>0.25</v>
      </c>
      <c r="F10" s="217">
        <v>0.25</v>
      </c>
      <c r="G10" s="217">
        <v>0.25</v>
      </c>
      <c r="H10" s="232">
        <v>0.25</v>
      </c>
      <c r="I10" s="391">
        <v>10000</v>
      </c>
      <c r="J10" s="357">
        <v>10000</v>
      </c>
      <c r="K10" s="357">
        <v>10000</v>
      </c>
      <c r="L10" s="357">
        <v>10000</v>
      </c>
      <c r="M10" s="357">
        <v>10000</v>
      </c>
      <c r="N10" s="360">
        <v>10000</v>
      </c>
      <c r="O10" s="142">
        <f>'Key Inputs &amp; Outputs (BD)'!E$15</f>
        <v>2</v>
      </c>
      <c r="P10" s="128">
        <f>'Key Inputs &amp; Outputs (BD)'!F$15</f>
        <v>4</v>
      </c>
      <c r="Q10" s="128">
        <f>'Key Inputs &amp; Outputs (BD)'!G$15</f>
        <v>6</v>
      </c>
      <c r="R10" s="128">
        <f>'Key Inputs &amp; Outputs (BD)'!H$15</f>
        <v>12</v>
      </c>
      <c r="S10" s="128">
        <f>'Key Inputs &amp; Outputs (BD)'!I$15</f>
        <v>30</v>
      </c>
      <c r="T10" s="208">
        <f>'Key Inputs &amp; Outputs (BD)'!J$15</f>
        <v>54</v>
      </c>
      <c r="U10" s="192">
        <f>O10*I10*'Key Inputs &amp; Outputs (BD)'!E27</f>
        <v>20000</v>
      </c>
      <c r="V10" s="163">
        <f>'3 Ancillary'!P10*'3 Ancillary'!J10*'Key Inputs &amp; Outputs (BD)'!F27</f>
        <v>40000</v>
      </c>
      <c r="W10" s="163">
        <f>'3 Ancillary'!Q10*'3 Ancillary'!K10*'Key Inputs &amp; Outputs (BD)'!G27</f>
        <v>60000</v>
      </c>
      <c r="X10" s="163">
        <f>'3 Ancillary'!R10*'3 Ancillary'!L10*'Key Inputs &amp; Outputs (BD)'!H27</f>
        <v>72000</v>
      </c>
      <c r="Y10" s="163">
        <f>'3 Ancillary'!S10*'3 Ancillary'!M10*'Key Inputs &amp; Outputs (BD)'!I27</f>
        <v>180000</v>
      </c>
      <c r="Z10" s="193">
        <f>'3 Ancillary'!T10*'3 Ancillary'!N10*'Key Inputs &amp; Outputs (BD)'!I27</f>
        <v>324000</v>
      </c>
      <c r="AA10" s="188">
        <f>(1+'Financial assumptions'!$C$11)^(('Key Inputs &amp; Outputs (BD)'!E$21-C10*'Key Inputs &amp; Outputs (BD)'!E$21)/12)*U10</f>
        <v>21101.502567868854</v>
      </c>
      <c r="AB10" s="164">
        <f>(1+'Financial assumptions'!$C$11)^(('Key Inputs &amp; Outputs (BD)'!F$21-D10*'Key Inputs &amp; Outputs (BD)'!F$21)/12)*V10</f>
        <v>42963.979945757666</v>
      </c>
      <c r="AC10" s="164">
        <f>(1+'Financial assumptions'!$C$11)^(('Key Inputs &amp; Outputs (BD)'!G$21-E10*'Key Inputs &amp; Outputs (BD)'!G$21)/12)*W10</f>
        <v>65608.014174908138</v>
      </c>
      <c r="AD10" s="164">
        <f>(1+'Financial assumptions'!$C$11)^(('Key Inputs &amp; Outputs (BD)'!H$21-F10*'Key Inputs &amp; Outputs (BD)'!H$21)/12)*X10</f>
        <v>80149.213911919651</v>
      </c>
      <c r="AE10" s="164">
        <f>(1+'Financial assumptions'!$C$11)^(('Key Inputs &amp; Outputs (BD)'!I$21-G10*'Key Inputs &amp; Outputs (BD)'!I$21)/12)*Y10</f>
        <v>203986.01995903606</v>
      </c>
      <c r="AF10" s="168">
        <f>(1+'Financial assumptions'!$C$11)^(('Key Inputs &amp; Outputs (BD)'!J$21-H10*'Key Inputs &amp; Outputs (BD)'!J$21)/12)*Z10</f>
        <v>373795.47348784207</v>
      </c>
    </row>
    <row r="11" spans="1:32" x14ac:dyDescent="0.25">
      <c r="A11" s="56" t="s">
        <v>20</v>
      </c>
      <c r="B11" s="183" t="s">
        <v>9</v>
      </c>
      <c r="C11" s="231">
        <v>0.5</v>
      </c>
      <c r="D11" s="217">
        <v>0.5</v>
      </c>
      <c r="E11" s="217">
        <v>0.5</v>
      </c>
      <c r="F11" s="217">
        <v>0.5</v>
      </c>
      <c r="G11" s="217">
        <v>0.5</v>
      </c>
      <c r="H11" s="232">
        <v>0.5</v>
      </c>
      <c r="I11" s="391">
        <v>1500</v>
      </c>
      <c r="J11" s="357">
        <v>1500</v>
      </c>
      <c r="K11" s="357">
        <v>1500</v>
      </c>
      <c r="L11" s="357">
        <v>1500</v>
      </c>
      <c r="M11" s="357">
        <v>1500</v>
      </c>
      <c r="N11" s="360">
        <v>1500</v>
      </c>
      <c r="O11" s="142">
        <f>'Key Inputs &amp; Outputs (BD)'!E$15</f>
        <v>2</v>
      </c>
      <c r="P11" s="128">
        <f>'Key Inputs &amp; Outputs (BD)'!F$15</f>
        <v>4</v>
      </c>
      <c r="Q11" s="128">
        <f>'Key Inputs &amp; Outputs (BD)'!G$15</f>
        <v>6</v>
      </c>
      <c r="R11" s="128">
        <f>'Key Inputs &amp; Outputs (BD)'!H$15</f>
        <v>12</v>
      </c>
      <c r="S11" s="128">
        <f>'Key Inputs &amp; Outputs (BD)'!I$15</f>
        <v>30</v>
      </c>
      <c r="T11" s="208">
        <f>'Key Inputs &amp; Outputs (BD)'!J$15</f>
        <v>54</v>
      </c>
      <c r="U11" s="192">
        <f>O11*I11*'Key Inputs &amp; Outputs (BD)'!E27</f>
        <v>3000</v>
      </c>
      <c r="V11" s="163">
        <f>P11*J11*'Key Inputs &amp; Outputs (BD)'!F27</f>
        <v>6000</v>
      </c>
      <c r="W11" s="163">
        <f>Q11*K11*'Key Inputs &amp; Outputs (BD)'!G27</f>
        <v>9000</v>
      </c>
      <c r="X11" s="163">
        <f>R11*L11*'Key Inputs &amp; Outputs (BD)'!H27</f>
        <v>10800</v>
      </c>
      <c r="Y11" s="163">
        <f>S11*M11*'Key Inputs &amp; Outputs (BD)'!I27</f>
        <v>27000</v>
      </c>
      <c r="Z11" s="193">
        <f>T11*N11*'Key Inputs &amp; Outputs (BD)'!J27</f>
        <v>48600</v>
      </c>
      <c r="AA11" s="188">
        <f>(1+'Financial assumptions'!$C$11)^(('Key Inputs &amp; Outputs (BD)'!E$21-C11*'Key Inputs &amp; Outputs (BD)'!E$21)/12)*U11</f>
        <v>3109.1631491119074</v>
      </c>
      <c r="AB11" s="164">
        <f>(1+'Financial assumptions'!$C$11)^(('Key Inputs &amp; Outputs (BD)'!F$21-D11*'Key Inputs &amp; Outputs (BD)'!F$21)/12)*V11</f>
        <v>6292.8530890209095</v>
      </c>
      <c r="AC11" s="164">
        <f>(1+'Financial assumptions'!$C$11)^(('Key Inputs &amp; Outputs (BD)'!G$21-E11*'Key Inputs &amp; Outputs (BD)'!G$21)/12)*W11</f>
        <v>9552.4096278072193</v>
      </c>
      <c r="AD11" s="164">
        <f>(1+'Financial assumptions'!$C$11)^(('Key Inputs &amp; Outputs (BD)'!H$21-F11*'Key Inputs &amp; Outputs (BD)'!H$21)/12)*X11</f>
        <v>11600.274585354569</v>
      </c>
      <c r="AE11" s="164">
        <f>(1+'Financial assumptions'!$C$11)^(('Key Inputs &amp; Outputs (BD)'!I$21-G11*'Key Inputs &amp; Outputs (BD)'!I$21)/12)*Y11</f>
        <v>29348.260390738269</v>
      </c>
      <c r="AF11" s="168">
        <f>(1+'Financial assumptions'!$C$11)^(('Key Inputs &amp; Outputs (BD)'!J$21-H11*'Key Inputs &amp; Outputs (BD)'!J$21)/12)*Z11</f>
        <v>53460.000000000007</v>
      </c>
    </row>
    <row r="12" spans="1:32" x14ac:dyDescent="0.25">
      <c r="A12" s="56" t="s">
        <v>21</v>
      </c>
      <c r="B12" s="183" t="s">
        <v>9</v>
      </c>
      <c r="C12" s="231">
        <v>0.5</v>
      </c>
      <c r="D12" s="217">
        <v>0.5</v>
      </c>
      <c r="E12" s="217">
        <v>0.5</v>
      </c>
      <c r="F12" s="217">
        <v>0.5</v>
      </c>
      <c r="G12" s="217">
        <v>0.5</v>
      </c>
      <c r="H12" s="232">
        <v>0.5</v>
      </c>
      <c r="I12" s="392">
        <v>3000</v>
      </c>
      <c r="J12" s="358">
        <v>3000</v>
      </c>
      <c r="K12" s="358">
        <v>3000</v>
      </c>
      <c r="L12" s="358">
        <v>3000</v>
      </c>
      <c r="M12" s="358">
        <v>3000</v>
      </c>
      <c r="N12" s="361">
        <v>3000</v>
      </c>
      <c r="O12" s="142">
        <f>'Key Inputs &amp; Outputs (BD)'!E$15</f>
        <v>2</v>
      </c>
      <c r="P12" s="128">
        <f>'Key Inputs &amp; Outputs (BD)'!F$15</f>
        <v>4</v>
      </c>
      <c r="Q12" s="128">
        <f>'Key Inputs &amp; Outputs (BD)'!G$15</f>
        <v>6</v>
      </c>
      <c r="R12" s="128">
        <f>'Key Inputs &amp; Outputs (BD)'!H$15</f>
        <v>12</v>
      </c>
      <c r="S12" s="128">
        <f>'Key Inputs &amp; Outputs (BD)'!I$15</f>
        <v>30</v>
      </c>
      <c r="T12" s="208">
        <f>'Key Inputs &amp; Outputs (BD)'!J$15</f>
        <v>54</v>
      </c>
      <c r="U12" s="192">
        <f>O12*I12</f>
        <v>6000</v>
      </c>
      <c r="V12" s="163">
        <f>'3 Ancillary'!P12*'3 Ancillary'!J12</f>
        <v>12000</v>
      </c>
      <c r="W12" s="163">
        <f>'3 Ancillary'!Q12*'3 Ancillary'!K12</f>
        <v>18000</v>
      </c>
      <c r="X12" s="163">
        <f>'3 Ancillary'!R12*'3 Ancillary'!L12</f>
        <v>36000</v>
      </c>
      <c r="Y12" s="163">
        <f>'3 Ancillary'!S12*'3 Ancillary'!M12</f>
        <v>90000</v>
      </c>
      <c r="Z12" s="193">
        <f>'3 Ancillary'!T12*'3 Ancillary'!N12</f>
        <v>162000</v>
      </c>
      <c r="AA12" s="188">
        <f>(1+'Financial assumptions'!$C$11)^(('Key Inputs &amp; Outputs (BD)'!E$21-C12*'Key Inputs &amp; Outputs (BD)'!E$21)/12)*U12</f>
        <v>6218.3262982238148</v>
      </c>
      <c r="AB12" s="164">
        <f>(1+'Financial assumptions'!$C$11)^(('Key Inputs &amp; Outputs (BD)'!F$21-D12*'Key Inputs &amp; Outputs (BD)'!F$21)/12)*V12</f>
        <v>12585.706178041819</v>
      </c>
      <c r="AC12" s="164">
        <f>(1+'Financial assumptions'!$C$11)^(('Key Inputs &amp; Outputs (BD)'!G$21-E12*'Key Inputs &amp; Outputs (BD)'!G$21)/12)*W12</f>
        <v>19104.819255614439</v>
      </c>
      <c r="AD12" s="164">
        <f>(1+'Financial assumptions'!$C$11)^(('Key Inputs &amp; Outputs (BD)'!H$21-F12*'Key Inputs &amp; Outputs (BD)'!H$21)/12)*X12</f>
        <v>38667.581951181899</v>
      </c>
      <c r="AE12" s="164">
        <f>(1+'Financial assumptions'!$C$11)^(('Key Inputs &amp; Outputs (BD)'!I$21-G12*'Key Inputs &amp; Outputs (BD)'!I$21)/12)*Y12</f>
        <v>97827.534635794233</v>
      </c>
      <c r="AF12" s="168">
        <f>(1+'Financial assumptions'!$C$11)^(('Key Inputs &amp; Outputs (BD)'!J$21-H12*'Key Inputs &amp; Outputs (BD)'!J$21)/12)*Z12</f>
        <v>178200</v>
      </c>
    </row>
    <row r="13" spans="1:32" x14ac:dyDescent="0.25">
      <c r="A13" s="56" t="s">
        <v>22</v>
      </c>
      <c r="B13" s="183" t="s">
        <v>9</v>
      </c>
      <c r="C13" s="231">
        <v>0.5</v>
      </c>
      <c r="D13" s="217">
        <v>0.5</v>
      </c>
      <c r="E13" s="217">
        <v>0.5</v>
      </c>
      <c r="F13" s="217">
        <v>0.5</v>
      </c>
      <c r="G13" s="217">
        <v>0.5</v>
      </c>
      <c r="H13" s="232">
        <v>0.5</v>
      </c>
      <c r="I13" s="392">
        <v>3000</v>
      </c>
      <c r="J13" s="358">
        <v>3000</v>
      </c>
      <c r="K13" s="358">
        <v>3000</v>
      </c>
      <c r="L13" s="358">
        <v>3000</v>
      </c>
      <c r="M13" s="358">
        <v>3000</v>
      </c>
      <c r="N13" s="361">
        <v>3000</v>
      </c>
      <c r="O13" s="142">
        <f>'Key Inputs &amp; Outputs (BD)'!E$15</f>
        <v>2</v>
      </c>
      <c r="P13" s="128">
        <f>'Key Inputs &amp; Outputs (BD)'!F$15</f>
        <v>4</v>
      </c>
      <c r="Q13" s="128">
        <f>'Key Inputs &amp; Outputs (BD)'!G$15</f>
        <v>6</v>
      </c>
      <c r="R13" s="128">
        <f>'Key Inputs &amp; Outputs (BD)'!H$15</f>
        <v>12</v>
      </c>
      <c r="S13" s="128">
        <f>'Key Inputs &amp; Outputs (BD)'!I$15</f>
        <v>30</v>
      </c>
      <c r="T13" s="208">
        <f>'Key Inputs &amp; Outputs (BD)'!J$15</f>
        <v>54</v>
      </c>
      <c r="U13" s="192">
        <f>O13*I13</f>
        <v>6000</v>
      </c>
      <c r="V13" s="163">
        <f>'3 Ancillary'!P13*'3 Ancillary'!J13</f>
        <v>12000</v>
      </c>
      <c r="W13" s="163">
        <f>'3 Ancillary'!Q13*'3 Ancillary'!K13</f>
        <v>18000</v>
      </c>
      <c r="X13" s="163">
        <f>'3 Ancillary'!R13*'3 Ancillary'!L13</f>
        <v>36000</v>
      </c>
      <c r="Y13" s="163">
        <f>'3 Ancillary'!S13*'3 Ancillary'!M13</f>
        <v>90000</v>
      </c>
      <c r="Z13" s="193">
        <f>'3 Ancillary'!T13*'3 Ancillary'!N13</f>
        <v>162000</v>
      </c>
      <c r="AA13" s="188">
        <f>(1+'Financial assumptions'!$C$11)^(('Key Inputs &amp; Outputs (BD)'!E$21-C13*'Key Inputs &amp; Outputs (BD)'!E$21)/12)*U13</f>
        <v>6218.3262982238148</v>
      </c>
      <c r="AB13" s="164">
        <f>(1+'Financial assumptions'!$C$11)^(('Key Inputs &amp; Outputs (BD)'!F$21-D13*'Key Inputs &amp; Outputs (BD)'!F$21)/12)*V13</f>
        <v>12585.706178041819</v>
      </c>
      <c r="AC13" s="164">
        <f>(1+'Financial assumptions'!$C$11)^(('Key Inputs &amp; Outputs (BD)'!G$21-E13*'Key Inputs &amp; Outputs (BD)'!G$21)/12)*W13</f>
        <v>19104.819255614439</v>
      </c>
      <c r="AD13" s="164">
        <f>(1+'Financial assumptions'!$C$11)^(('Key Inputs &amp; Outputs (BD)'!H$21-F13*'Key Inputs &amp; Outputs (BD)'!H$21)/12)*X13</f>
        <v>38667.581951181899</v>
      </c>
      <c r="AE13" s="164">
        <f>(1+'Financial assumptions'!$C$11)^(('Key Inputs &amp; Outputs (BD)'!I$21-G13*'Key Inputs &amp; Outputs (BD)'!I$21)/12)*Y13</f>
        <v>97827.534635794233</v>
      </c>
      <c r="AF13" s="168">
        <f>(1+'Financial assumptions'!$C$11)^(('Key Inputs &amp; Outputs (BD)'!J$21-H13*'Key Inputs &amp; Outputs (BD)'!J$21)/12)*Z13</f>
        <v>178200</v>
      </c>
    </row>
    <row r="14" spans="1:32" x14ac:dyDescent="0.25">
      <c r="A14" s="56" t="s">
        <v>23</v>
      </c>
      <c r="B14" s="183" t="s">
        <v>9</v>
      </c>
      <c r="C14" s="231">
        <v>0.5</v>
      </c>
      <c r="D14" s="217">
        <v>0.5</v>
      </c>
      <c r="E14" s="217">
        <v>0.5</v>
      </c>
      <c r="F14" s="217">
        <v>0.5</v>
      </c>
      <c r="G14" s="217">
        <v>0.5</v>
      </c>
      <c r="H14" s="232">
        <v>0.5</v>
      </c>
      <c r="I14" s="392">
        <v>1500</v>
      </c>
      <c r="J14" s="358">
        <v>1500</v>
      </c>
      <c r="K14" s="358">
        <v>1500</v>
      </c>
      <c r="L14" s="358">
        <v>1500</v>
      </c>
      <c r="M14" s="358">
        <v>1500</v>
      </c>
      <c r="N14" s="361">
        <v>1500</v>
      </c>
      <c r="O14" s="142">
        <f>'Key Inputs &amp; Outputs (BD)'!E$15</f>
        <v>2</v>
      </c>
      <c r="P14" s="128">
        <f>'Key Inputs &amp; Outputs (BD)'!F$15</f>
        <v>4</v>
      </c>
      <c r="Q14" s="128">
        <f>'Key Inputs &amp; Outputs (BD)'!G$15</f>
        <v>6</v>
      </c>
      <c r="R14" s="128">
        <f>'Key Inputs &amp; Outputs (BD)'!H$15</f>
        <v>12</v>
      </c>
      <c r="S14" s="128">
        <f>'Key Inputs &amp; Outputs (BD)'!I$15</f>
        <v>30</v>
      </c>
      <c r="T14" s="208">
        <f>'Key Inputs &amp; Outputs (BD)'!J$15</f>
        <v>54</v>
      </c>
      <c r="U14" s="192">
        <f>O14*I14</f>
        <v>3000</v>
      </c>
      <c r="V14" s="163">
        <f>'3 Ancillary'!P14*'3 Ancillary'!J14</f>
        <v>6000</v>
      </c>
      <c r="W14" s="163">
        <f>'3 Ancillary'!Q14*'3 Ancillary'!K14</f>
        <v>9000</v>
      </c>
      <c r="X14" s="163">
        <f>'3 Ancillary'!R14*'3 Ancillary'!L14</f>
        <v>18000</v>
      </c>
      <c r="Y14" s="163">
        <f>'3 Ancillary'!S14*'3 Ancillary'!M14</f>
        <v>45000</v>
      </c>
      <c r="Z14" s="193">
        <f>'3 Ancillary'!T14*'3 Ancillary'!N14</f>
        <v>81000</v>
      </c>
      <c r="AA14" s="188">
        <f>(1+'Financial assumptions'!$C$11)^(('Key Inputs &amp; Outputs (BD)'!E$21-C14*'Key Inputs &amp; Outputs (BD)'!E$21)/12)*U14</f>
        <v>3109.1631491119074</v>
      </c>
      <c r="AB14" s="164">
        <f>(1+'Financial assumptions'!$C$11)^(('Key Inputs &amp; Outputs (BD)'!F$21-D14*'Key Inputs &amp; Outputs (BD)'!F$21)/12)*V14</f>
        <v>6292.8530890209095</v>
      </c>
      <c r="AC14" s="164">
        <f>(1+'Financial assumptions'!$C$11)^(('Key Inputs &amp; Outputs (BD)'!G$21-E14*'Key Inputs &amp; Outputs (BD)'!G$21)/12)*W14</f>
        <v>9552.4096278072193</v>
      </c>
      <c r="AD14" s="164">
        <f>(1+'Financial assumptions'!$C$11)^(('Key Inputs &amp; Outputs (BD)'!H$21-F14*'Key Inputs &amp; Outputs (BD)'!H$21)/12)*X14</f>
        <v>19333.79097559095</v>
      </c>
      <c r="AE14" s="164">
        <f>(1+'Financial assumptions'!$C$11)^(('Key Inputs &amp; Outputs (BD)'!I$21-G14*'Key Inputs &amp; Outputs (BD)'!I$21)/12)*Y14</f>
        <v>48913.767317897116</v>
      </c>
      <c r="AF14" s="168">
        <f>(1+'Financial assumptions'!$C$11)^(('Key Inputs &amp; Outputs (BD)'!J$21-H14*'Key Inputs &amp; Outputs (BD)'!J$21)/12)*Z14</f>
        <v>89100</v>
      </c>
    </row>
    <row r="15" spans="1:32" x14ac:dyDescent="0.25">
      <c r="A15" s="56" t="s">
        <v>24</v>
      </c>
      <c r="B15" s="183" t="s">
        <v>9</v>
      </c>
      <c r="C15" s="231">
        <v>0.5</v>
      </c>
      <c r="D15" s="217">
        <v>0.5</v>
      </c>
      <c r="E15" s="217">
        <v>0.5</v>
      </c>
      <c r="F15" s="217">
        <v>0.5</v>
      </c>
      <c r="G15" s="217">
        <v>0.5</v>
      </c>
      <c r="H15" s="232">
        <v>0.5</v>
      </c>
      <c r="I15" s="392">
        <v>1500</v>
      </c>
      <c r="J15" s="358">
        <v>1500</v>
      </c>
      <c r="K15" s="358">
        <v>1500</v>
      </c>
      <c r="L15" s="358">
        <v>1500</v>
      </c>
      <c r="M15" s="358">
        <v>1500</v>
      </c>
      <c r="N15" s="361">
        <v>1500</v>
      </c>
      <c r="O15" s="142">
        <f>'Key Inputs &amp; Outputs (BD)'!E$15</f>
        <v>2</v>
      </c>
      <c r="P15" s="128">
        <f>'Key Inputs &amp; Outputs (BD)'!F$15</f>
        <v>4</v>
      </c>
      <c r="Q15" s="128">
        <f>'Key Inputs &amp; Outputs (BD)'!G$15</f>
        <v>6</v>
      </c>
      <c r="R15" s="128">
        <f>'Key Inputs &amp; Outputs (BD)'!H$15</f>
        <v>12</v>
      </c>
      <c r="S15" s="128">
        <f>'Key Inputs &amp; Outputs (BD)'!I$15</f>
        <v>30</v>
      </c>
      <c r="T15" s="208">
        <f>'Key Inputs &amp; Outputs (BD)'!J$15</f>
        <v>54</v>
      </c>
      <c r="U15" s="192">
        <f>O15*I15</f>
        <v>3000</v>
      </c>
      <c r="V15" s="163">
        <f>'3 Ancillary'!P15*'3 Ancillary'!J15</f>
        <v>6000</v>
      </c>
      <c r="W15" s="163">
        <f>'3 Ancillary'!Q15*'3 Ancillary'!K15</f>
        <v>9000</v>
      </c>
      <c r="X15" s="163">
        <f>'3 Ancillary'!R15*'3 Ancillary'!L15</f>
        <v>18000</v>
      </c>
      <c r="Y15" s="163">
        <f>'3 Ancillary'!S15*'3 Ancillary'!M15</f>
        <v>45000</v>
      </c>
      <c r="Z15" s="193">
        <f>'3 Ancillary'!T15*'3 Ancillary'!N15</f>
        <v>81000</v>
      </c>
      <c r="AA15" s="188">
        <f>(1+'Financial assumptions'!$C$11)^(('Key Inputs &amp; Outputs (BD)'!E$21-C15*'Key Inputs &amp; Outputs (BD)'!E$21)/12)*U15</f>
        <v>3109.1631491119074</v>
      </c>
      <c r="AB15" s="164">
        <f>(1+'Financial assumptions'!$C$11)^(('Key Inputs &amp; Outputs (BD)'!F$21-D15*'Key Inputs &amp; Outputs (BD)'!F$21)/12)*V15</f>
        <v>6292.8530890209095</v>
      </c>
      <c r="AC15" s="164">
        <f>(1+'Financial assumptions'!$C$11)^(('Key Inputs &amp; Outputs (BD)'!G$21-E15*'Key Inputs &amp; Outputs (BD)'!G$21)/12)*W15</f>
        <v>9552.4096278072193</v>
      </c>
      <c r="AD15" s="164">
        <f>(1+'Financial assumptions'!$C$11)^(('Key Inputs &amp; Outputs (BD)'!H$21-F15*'Key Inputs &amp; Outputs (BD)'!H$21)/12)*X15</f>
        <v>19333.79097559095</v>
      </c>
      <c r="AE15" s="164">
        <f>(1+'Financial assumptions'!$C$11)^(('Key Inputs &amp; Outputs (BD)'!I$21-G15*'Key Inputs &amp; Outputs (BD)'!I$21)/12)*Y15</f>
        <v>48913.767317897116</v>
      </c>
      <c r="AF15" s="168">
        <f>(1+'Financial assumptions'!$C$11)^(('Key Inputs &amp; Outputs (BD)'!J$21-H15*'Key Inputs &amp; Outputs (BD)'!J$21)/12)*Z15</f>
        <v>89100</v>
      </c>
    </row>
    <row r="16" spans="1:32" x14ac:dyDescent="0.25">
      <c r="A16" s="56" t="s">
        <v>25</v>
      </c>
      <c r="B16" s="183" t="s">
        <v>9</v>
      </c>
      <c r="C16" s="231">
        <v>0.5</v>
      </c>
      <c r="D16" s="217">
        <v>0.5</v>
      </c>
      <c r="E16" s="217">
        <v>0.5</v>
      </c>
      <c r="F16" s="217">
        <v>0.5</v>
      </c>
      <c r="G16" s="217">
        <v>0.5</v>
      </c>
      <c r="H16" s="232">
        <v>0.5</v>
      </c>
      <c r="I16" s="392">
        <v>1500</v>
      </c>
      <c r="J16" s="358">
        <v>1500</v>
      </c>
      <c r="K16" s="358">
        <v>1500</v>
      </c>
      <c r="L16" s="358">
        <v>1500</v>
      </c>
      <c r="M16" s="358">
        <v>1500</v>
      </c>
      <c r="N16" s="361">
        <v>1500</v>
      </c>
      <c r="O16" s="142">
        <f>'Key Inputs &amp; Outputs (BD)'!E$15</f>
        <v>2</v>
      </c>
      <c r="P16" s="128">
        <f>'Key Inputs &amp; Outputs (BD)'!F$15</f>
        <v>4</v>
      </c>
      <c r="Q16" s="128">
        <f>'Key Inputs &amp; Outputs (BD)'!G$15</f>
        <v>6</v>
      </c>
      <c r="R16" s="128">
        <f>'Key Inputs &amp; Outputs (BD)'!H$15</f>
        <v>12</v>
      </c>
      <c r="S16" s="128">
        <f>'Key Inputs &amp; Outputs (BD)'!I$15</f>
        <v>30</v>
      </c>
      <c r="T16" s="208">
        <f>'Key Inputs &amp; Outputs (BD)'!J$15</f>
        <v>54</v>
      </c>
      <c r="U16" s="192">
        <f>O16*I16</f>
        <v>3000</v>
      </c>
      <c r="V16" s="163">
        <f>'3 Ancillary'!P16*'3 Ancillary'!J16</f>
        <v>6000</v>
      </c>
      <c r="W16" s="163">
        <f>'3 Ancillary'!Q16*'3 Ancillary'!K16</f>
        <v>9000</v>
      </c>
      <c r="X16" s="163">
        <f>'3 Ancillary'!R16*'3 Ancillary'!L16</f>
        <v>18000</v>
      </c>
      <c r="Y16" s="163">
        <f>'3 Ancillary'!S16*'3 Ancillary'!M16</f>
        <v>45000</v>
      </c>
      <c r="Z16" s="193">
        <f>'3 Ancillary'!T16*'3 Ancillary'!N16</f>
        <v>81000</v>
      </c>
      <c r="AA16" s="188">
        <f>(1+'Financial assumptions'!$C$11)^(('Key Inputs &amp; Outputs (BD)'!E$21-C16*'Key Inputs &amp; Outputs (BD)'!E$21)/12)*U16</f>
        <v>3109.1631491119074</v>
      </c>
      <c r="AB16" s="164">
        <f>(1+'Financial assumptions'!$C$11)^(('Key Inputs &amp; Outputs (BD)'!F$21-D16*'Key Inputs &amp; Outputs (BD)'!F$21)/12)*V16</f>
        <v>6292.8530890209095</v>
      </c>
      <c r="AC16" s="164">
        <f>(1+'Financial assumptions'!$C$11)^(('Key Inputs &amp; Outputs (BD)'!G$21-E16*'Key Inputs &amp; Outputs (BD)'!G$21)/12)*W16</f>
        <v>9552.4096278072193</v>
      </c>
      <c r="AD16" s="164">
        <f>(1+'Financial assumptions'!$C$11)^(('Key Inputs &amp; Outputs (BD)'!H$21-F16*'Key Inputs &amp; Outputs (BD)'!H$21)/12)*X16</f>
        <v>19333.79097559095</v>
      </c>
      <c r="AE16" s="164">
        <f>(1+'Financial assumptions'!$C$11)^(('Key Inputs &amp; Outputs (BD)'!I$21-G16*'Key Inputs &amp; Outputs (BD)'!I$21)/12)*Y16</f>
        <v>48913.767317897116</v>
      </c>
      <c r="AF16" s="168">
        <f>(1+'Financial assumptions'!$C$11)^(('Key Inputs &amp; Outputs (BD)'!J$21-H16*'Key Inputs &amp; Outputs (BD)'!J$21)/12)*Z16</f>
        <v>89100</v>
      </c>
    </row>
    <row r="17" spans="1:32" x14ac:dyDescent="0.25">
      <c r="A17" s="56" t="s">
        <v>196</v>
      </c>
      <c r="B17" s="183" t="s">
        <v>32</v>
      </c>
      <c r="C17" s="231">
        <v>0.25</v>
      </c>
      <c r="D17" s="217">
        <v>0.25</v>
      </c>
      <c r="E17" s="217">
        <v>0.25</v>
      </c>
      <c r="F17" s="217">
        <v>0.25</v>
      </c>
      <c r="G17" s="217">
        <v>0.25</v>
      </c>
      <c r="H17" s="232">
        <v>0.25</v>
      </c>
      <c r="I17" s="220">
        <v>0.01</v>
      </c>
      <c r="J17" s="221">
        <f>I17-0.001</f>
        <v>9.0000000000000011E-3</v>
      </c>
      <c r="K17" s="221">
        <f t="shared" ref="K17:N17" si="0">J17-0.001</f>
        <v>8.0000000000000002E-3</v>
      </c>
      <c r="L17" s="221">
        <f t="shared" si="0"/>
        <v>7.0000000000000001E-3</v>
      </c>
      <c r="M17" s="221">
        <f t="shared" si="0"/>
        <v>6.0000000000000001E-3</v>
      </c>
      <c r="N17" s="222">
        <f t="shared" si="0"/>
        <v>5.0000000000000001E-3</v>
      </c>
      <c r="O17" s="399">
        <v>1</v>
      </c>
      <c r="P17" s="400">
        <v>1</v>
      </c>
      <c r="Q17" s="400">
        <v>1</v>
      </c>
      <c r="R17" s="400">
        <v>1</v>
      </c>
      <c r="S17" s="400">
        <v>1</v>
      </c>
      <c r="T17" s="401">
        <v>1</v>
      </c>
      <c r="U17" s="192">
        <f>O17*I17*'2 Construction'!U$14</f>
        <v>7500.7</v>
      </c>
      <c r="V17" s="163">
        <f>P17*J17*'2 Construction'!V$14</f>
        <v>11782.584000000001</v>
      </c>
      <c r="W17" s="163">
        <f>Q17*K17*'2 Construction'!W$14</f>
        <v>13254.400000000001</v>
      </c>
      <c r="X17" s="163">
        <f>R17*L17*'2 Construction'!X$14</f>
        <v>24732.400000000001</v>
      </c>
      <c r="Y17" s="163">
        <f>S17*M17*'2 Construction'!Y$14</f>
        <v>59953.32</v>
      </c>
      <c r="Z17" s="193">
        <f>T17*N17*'2 Construction'!Z$14</f>
        <v>95200</v>
      </c>
      <c r="AA17" s="188">
        <f>(1+'Financial assumptions'!$C$11)^(('Key Inputs &amp; Outputs (BD)'!E$21-C17*'Key Inputs &amp; Outputs (BD)'!E$21)/12)*U17</f>
        <v>7913.8020155406957</v>
      </c>
      <c r="AB17" s="164">
        <f>(1+'Financial assumptions'!$C$11)^(('Key Inputs &amp; Outputs (BD)'!F$21-D17*'Key Inputs &amp; Outputs (BD)'!F$21)/12)*V17</f>
        <v>12655.667567130129</v>
      </c>
      <c r="AC17" s="164">
        <f>(1+'Financial assumptions'!$C$11)^(('Key Inputs &amp; Outputs (BD)'!G$21-E17*'Key Inputs &amp; Outputs (BD)'!G$21)/12)*W17</f>
        <v>14493.247717998374</v>
      </c>
      <c r="AD17" s="164">
        <f>(1+'Financial assumptions'!$C$11)^(('Key Inputs &amp; Outputs (BD)'!H$21-F17*'Key Inputs &amp; Outputs (BD)'!H$21)/12)*X17</f>
        <v>27531.700252155024</v>
      </c>
      <c r="AE17" s="164">
        <f>(1+'Financial assumptions'!$C$11)^(('Key Inputs &amp; Outputs (BD)'!I$21-G17*'Key Inputs &amp; Outputs (BD)'!I$21)/12)*Y17</f>
        <v>67942.439611835973</v>
      </c>
      <c r="AF17" s="168">
        <f>(1+'Financial assumptions'!$C$11)^(('Key Inputs &amp; Outputs (BD)'!J$21-H17*'Key Inputs &amp; Outputs (BD)'!J$21)/12)*Z17</f>
        <v>109831.26258037829</v>
      </c>
    </row>
    <row r="18" spans="1:32" x14ac:dyDescent="0.25">
      <c r="A18" s="56" t="s">
        <v>120</v>
      </c>
      <c r="B18" s="183" t="s">
        <v>32</v>
      </c>
      <c r="C18" s="231">
        <v>0.75</v>
      </c>
      <c r="D18" s="217">
        <v>0.75</v>
      </c>
      <c r="E18" s="217">
        <v>0.75</v>
      </c>
      <c r="F18" s="217">
        <v>0.75</v>
      </c>
      <c r="G18" s="217">
        <v>0.75</v>
      </c>
      <c r="H18" s="232">
        <v>0.75</v>
      </c>
      <c r="I18" s="220">
        <v>0.05</v>
      </c>
      <c r="J18" s="221">
        <f>I18+0.01</f>
        <v>6.0000000000000005E-2</v>
      </c>
      <c r="K18" s="221">
        <f t="shared" ref="K18:N18" si="1">J18+0.01</f>
        <v>7.0000000000000007E-2</v>
      </c>
      <c r="L18" s="221">
        <f t="shared" si="1"/>
        <v>0.08</v>
      </c>
      <c r="M18" s="221">
        <f t="shared" si="1"/>
        <v>0.09</v>
      </c>
      <c r="N18" s="222">
        <f t="shared" si="1"/>
        <v>9.9999999999999992E-2</v>
      </c>
      <c r="O18" s="399">
        <v>1</v>
      </c>
      <c r="P18" s="400">
        <v>1</v>
      </c>
      <c r="Q18" s="400">
        <v>1</v>
      </c>
      <c r="R18" s="400">
        <v>1</v>
      </c>
      <c r="S18" s="400">
        <v>1</v>
      </c>
      <c r="T18" s="401">
        <v>1</v>
      </c>
      <c r="U18" s="192">
        <f>O18*I18*'2 Construction'!U$14</f>
        <v>37503.5</v>
      </c>
      <c r="V18" s="163">
        <f>P18*J18*'2 Construction'!V$14</f>
        <v>78550.560000000012</v>
      </c>
      <c r="W18" s="163">
        <f>Q18*K18*'2 Construction'!W$14</f>
        <v>115976.00000000003</v>
      </c>
      <c r="X18" s="163">
        <f>R18*L18*'2 Construction'!X$14</f>
        <v>282656</v>
      </c>
      <c r="Y18" s="163">
        <f>S18*M18*'2 Construction'!Y$14</f>
        <v>899299.79999999993</v>
      </c>
      <c r="Z18" s="193">
        <f>T18*N18*'2 Construction'!Z$14</f>
        <v>1903999.9999999998</v>
      </c>
      <c r="AA18" s="188">
        <f>(1+'Financial assumptions'!$C$11)^(('Key Inputs &amp; Outputs (BD)'!E$21-C18*'Key Inputs &amp; Outputs (BD)'!E$21)/12)*U18</f>
        <v>38179.736649399551</v>
      </c>
      <c r="AB18" s="164">
        <f>(1+'Financial assumptions'!$C$11)^(('Key Inputs &amp; Outputs (BD)'!F$21-D18*'Key Inputs &amp; Outputs (BD)'!F$21)/12)*V18</f>
        <v>80444.70378124906</v>
      </c>
      <c r="AC18" s="164">
        <f>(1+'Financial assumptions'!$C$11)^(('Key Inputs &amp; Outputs (BD)'!G$21-E18*'Key Inputs &amp; Outputs (BD)'!G$21)/12)*W18</f>
        <v>119482.2356099453</v>
      </c>
      <c r="AD18" s="164">
        <f>(1+'Financial assumptions'!$C$11)^(('Key Inputs &amp; Outputs (BD)'!H$21-F18*'Key Inputs &amp; Outputs (BD)'!H$21)/12)*X18</f>
        <v>292941.20635845844</v>
      </c>
      <c r="AE18" s="164">
        <f>(1+'Financial assumptions'!$C$11)^(('Key Inputs &amp; Outputs (BD)'!I$21-G18*'Key Inputs &amp; Outputs (BD)'!I$21)/12)*Y18</f>
        <v>937591.79169192887</v>
      </c>
      <c r="AF18" s="168">
        <f>(1+'Financial assumptions'!$C$11)^(('Key Inputs &amp; Outputs (BD)'!J$21-H18*'Key Inputs &amp; Outputs (BD)'!J$21)/12)*Z18</f>
        <v>1996932.0469159684</v>
      </c>
    </row>
    <row r="19" spans="1:32" x14ac:dyDescent="0.25">
      <c r="A19" s="56" t="s">
        <v>31</v>
      </c>
      <c r="B19" s="183" t="s">
        <v>32</v>
      </c>
      <c r="C19" s="231">
        <v>0.5</v>
      </c>
      <c r="D19" s="217">
        <v>0.5</v>
      </c>
      <c r="E19" s="217">
        <v>0.5</v>
      </c>
      <c r="F19" s="217">
        <v>0.5</v>
      </c>
      <c r="G19" s="217">
        <v>0.5</v>
      </c>
      <c r="H19" s="232">
        <v>0.5</v>
      </c>
      <c r="I19" s="220">
        <v>0.03</v>
      </c>
      <c r="J19" s="221">
        <v>0.03</v>
      </c>
      <c r="K19" s="221">
        <v>0.03</v>
      </c>
      <c r="L19" s="221">
        <v>0.03</v>
      </c>
      <c r="M19" s="221">
        <v>0.03</v>
      </c>
      <c r="N19" s="222">
        <v>0.03</v>
      </c>
      <c r="O19" s="399">
        <v>1</v>
      </c>
      <c r="P19" s="400">
        <v>1</v>
      </c>
      <c r="Q19" s="400">
        <v>1</v>
      </c>
      <c r="R19" s="400">
        <v>1</v>
      </c>
      <c r="S19" s="400">
        <v>1</v>
      </c>
      <c r="T19" s="401">
        <v>1</v>
      </c>
      <c r="U19" s="192">
        <f>O19*I19*'2 Construction'!U$14</f>
        <v>22502.1</v>
      </c>
      <c r="V19" s="163">
        <f>P19*J19*'2 Construction'!V$14</f>
        <v>39275.279999999999</v>
      </c>
      <c r="W19" s="163">
        <f>Q19*K19*'2 Construction'!W$14</f>
        <v>49704.000000000007</v>
      </c>
      <c r="X19" s="163">
        <f>R19*L19*'2 Construction'!X$14</f>
        <v>105996</v>
      </c>
      <c r="Y19" s="163">
        <f>S19*M19*'2 Construction'!Y$14</f>
        <v>299766.59999999998</v>
      </c>
      <c r="Z19" s="193">
        <f>T19*N19*'2 Construction'!Z$14</f>
        <v>571200</v>
      </c>
      <c r="AA19" s="188">
        <f>(1+'Financial assumptions'!$C$11)^(('Key Inputs &amp; Outputs (BD)'!E$21-C19*'Key Inputs &amp; Outputs (BD)'!E$21)/12)*U19</f>
        <v>23320.900032543683</v>
      </c>
      <c r="AB19" s="164">
        <f>(1+'Financial assumptions'!$C$11)^(('Key Inputs &amp; Outputs (BD)'!F$21-D19*'Key Inputs &amp; Outputs (BD)'!F$21)/12)*V19</f>
        <v>41192.26117836019</v>
      </c>
      <c r="AC19" s="164">
        <f>(1+'Financial assumptions'!$C$11)^(('Key Inputs &amp; Outputs (BD)'!G$21-E19*'Key Inputs &amp; Outputs (BD)'!G$21)/12)*W19</f>
        <v>52754.774237836675</v>
      </c>
      <c r="AD19" s="164">
        <f>(1+'Financial assumptions'!$C$11)^(('Key Inputs &amp; Outputs (BD)'!H$21-F19*'Key Inputs &amp; Outputs (BD)'!H$21)/12)*X19</f>
        <v>113850.25045826324</v>
      </c>
      <c r="AE19" s="164">
        <f>(1+'Financial assumptions'!$C$11)^(('Key Inputs &amp; Outputs (BD)'!I$21-G19*'Key Inputs &amp; Outputs (BD)'!I$21)/12)*Y19</f>
        <v>325838.08271282527</v>
      </c>
      <c r="AF19" s="168">
        <f>(1+'Financial assumptions'!$C$11)^(('Key Inputs &amp; Outputs (BD)'!J$21-H19*'Key Inputs &amp; Outputs (BD)'!J$21)/12)*Z19</f>
        <v>628320</v>
      </c>
    </row>
    <row r="20" spans="1:32" x14ac:dyDescent="0.25">
      <c r="A20" s="56" t="s">
        <v>29</v>
      </c>
      <c r="B20" s="183" t="s">
        <v>33</v>
      </c>
      <c r="C20" s="231">
        <v>0.6</v>
      </c>
      <c r="D20" s="217">
        <v>0.6</v>
      </c>
      <c r="E20" s="217">
        <v>0.6</v>
      </c>
      <c r="F20" s="217">
        <v>0.6</v>
      </c>
      <c r="G20" s="217">
        <v>0.6</v>
      </c>
      <c r="H20" s="232">
        <v>0.6</v>
      </c>
      <c r="I20" s="220">
        <v>3.5000000000000003E-2</v>
      </c>
      <c r="J20" s="221">
        <v>3.5000000000000003E-2</v>
      </c>
      <c r="K20" s="221">
        <v>3.5000000000000003E-2</v>
      </c>
      <c r="L20" s="221">
        <v>3.5000000000000003E-2</v>
      </c>
      <c r="M20" s="221">
        <v>3.5000000000000003E-2</v>
      </c>
      <c r="N20" s="222">
        <v>3.5000000000000003E-2</v>
      </c>
      <c r="O20" s="142">
        <f>'Key Inputs &amp; Outputs (BD)'!E$15</f>
        <v>2</v>
      </c>
      <c r="P20" s="128">
        <f>'Key Inputs &amp; Outputs (BD)'!F$15</f>
        <v>4</v>
      </c>
      <c r="Q20" s="128">
        <f>'Key Inputs &amp; Outputs (BD)'!G$15</f>
        <v>6</v>
      </c>
      <c r="R20" s="128">
        <f>'Key Inputs &amp; Outputs (BD)'!H$15</f>
        <v>12</v>
      </c>
      <c r="S20" s="128">
        <f>'Key Inputs &amp; Outputs (BD)'!I$15</f>
        <v>30</v>
      </c>
      <c r="T20" s="208">
        <f>'Key Inputs &amp; Outputs (BD)'!J$15</f>
        <v>54</v>
      </c>
      <c r="U20" s="192">
        <f>O20*I20*'Key Inputs &amp; Outputs (BD)'!E$37</f>
        <v>100800.00000000001</v>
      </c>
      <c r="V20" s="163">
        <f>P20*J20*'Key Inputs &amp; Outputs (BD)'!F$37</f>
        <v>144585</v>
      </c>
      <c r="W20" s="163">
        <f>Q20*K20*'Key Inputs &amp; Outputs (BD)'!G$37</f>
        <v>170100.00000000003</v>
      </c>
      <c r="X20" s="163">
        <f>R20*L20*'Key Inputs &amp; Outputs (BD)'!H$37</f>
        <v>302400</v>
      </c>
      <c r="Y20" s="163">
        <f>S20*M20*'Key Inputs &amp; Outputs (BD)'!I$37</f>
        <v>714000</v>
      </c>
      <c r="Z20" s="193">
        <f>T20*N20*'Key Inputs &amp; Outputs (BD)'!J$37</f>
        <v>1209600</v>
      </c>
      <c r="AA20" s="188">
        <f>(1+'Financial assumptions'!$C$11)^(('Key Inputs &amp; Outputs (BD)'!E$21-C20*'Key Inputs &amp; Outputs (BD)'!E$21)/12)*U20</f>
        <v>103723.7805496464</v>
      </c>
      <c r="AB20" s="164">
        <f>(1+'Financial assumptions'!$C$11)^(('Key Inputs &amp; Outputs (BD)'!F$21-D20*'Key Inputs &amp; Outputs (BD)'!F$21)/12)*V20</f>
        <v>150203.59019776684</v>
      </c>
      <c r="AC20" s="164">
        <f>(1+'Financial assumptions'!$C$11)^(('Key Inputs &amp; Outputs (BD)'!G$21-E20*'Key Inputs &amp; Outputs (BD)'!G$21)/12)*W20</f>
        <v>178402.38507374283</v>
      </c>
      <c r="AD20" s="164">
        <f>(1+'Financial assumptions'!$C$11)^(('Key Inputs &amp; Outputs (BD)'!H$21-F20*'Key Inputs &amp; Outputs (BD)'!H$21)/12)*X20</f>
        <v>320197.10272354766</v>
      </c>
      <c r="AE20" s="164">
        <f>(1+'Financial assumptions'!$C$11)^(('Key Inputs &amp; Outputs (BD)'!I$21-G20*'Key Inputs &amp; Outputs (BD)'!I$21)/12)*Y20</f>
        <v>763261.03407026175</v>
      </c>
      <c r="AF20" s="168">
        <f>(1+'Financial assumptions'!$C$11)^(('Key Inputs &amp; Outputs (BD)'!J$21-H20*'Key Inputs &amp; Outputs (BD)'!J$21)/12)*Z20</f>
        <v>1305437.0256735384</v>
      </c>
    </row>
    <row r="21" spans="1:32" x14ac:dyDescent="0.25">
      <c r="A21" s="56" t="s">
        <v>197</v>
      </c>
      <c r="B21" s="183" t="s">
        <v>33</v>
      </c>
      <c r="C21" s="231">
        <v>0.6</v>
      </c>
      <c r="D21" s="217">
        <v>0.6</v>
      </c>
      <c r="E21" s="217">
        <v>0.6</v>
      </c>
      <c r="F21" s="217">
        <v>0.6</v>
      </c>
      <c r="G21" s="217">
        <v>0.6</v>
      </c>
      <c r="H21" s="232">
        <v>0.6</v>
      </c>
      <c r="I21" s="220">
        <v>1.4999999999999999E-2</v>
      </c>
      <c r="J21" s="221">
        <v>1.4999999999999999E-2</v>
      </c>
      <c r="K21" s="221">
        <v>1.4999999999999999E-2</v>
      </c>
      <c r="L21" s="221">
        <v>1.4999999999999999E-2</v>
      </c>
      <c r="M21" s="221">
        <v>1.4999999999999999E-2</v>
      </c>
      <c r="N21" s="222">
        <v>1.4999999999999999E-2</v>
      </c>
      <c r="O21" s="142">
        <f>'Key Inputs &amp; Outputs (BD)'!E$15</f>
        <v>2</v>
      </c>
      <c r="P21" s="128">
        <f>'Key Inputs &amp; Outputs (BD)'!F$15</f>
        <v>4</v>
      </c>
      <c r="Q21" s="128">
        <f>'Key Inputs &amp; Outputs (BD)'!G$15</f>
        <v>6</v>
      </c>
      <c r="R21" s="128">
        <f>'Key Inputs &amp; Outputs (BD)'!H$15</f>
        <v>12</v>
      </c>
      <c r="S21" s="128">
        <f>'Key Inputs &amp; Outputs (BD)'!I$15</f>
        <v>30</v>
      </c>
      <c r="T21" s="208">
        <f>'Key Inputs &amp; Outputs (BD)'!J$15</f>
        <v>54</v>
      </c>
      <c r="U21" s="192">
        <f>O21*I21*'Key Inputs &amp; Outputs (BD)'!E$37</f>
        <v>43200</v>
      </c>
      <c r="V21" s="163">
        <f>P21*J21*'Key Inputs &amp; Outputs (BD)'!F$37</f>
        <v>61965</v>
      </c>
      <c r="W21" s="163">
        <f>Q21*K21*'Key Inputs &amp; Outputs (BD)'!G$37</f>
        <v>72900.000000000015</v>
      </c>
      <c r="X21" s="163">
        <f>R21*L21*'Key Inputs &amp; Outputs (BD)'!H$37</f>
        <v>129600</v>
      </c>
      <c r="Y21" s="163">
        <f>S21*M21*'Key Inputs &amp; Outputs (BD)'!I$37</f>
        <v>305999.99999999994</v>
      </c>
      <c r="Z21" s="193">
        <f>T21*N21*'Key Inputs &amp; Outputs (BD)'!J$37</f>
        <v>518399.99999999994</v>
      </c>
      <c r="AA21" s="188">
        <f>(1+'Financial assumptions'!$C$11)^(('Key Inputs &amp; Outputs (BD)'!E$21-C21*'Key Inputs &amp; Outputs (BD)'!E$21)/12)*U21</f>
        <v>44453.048806991304</v>
      </c>
      <c r="AB21" s="164">
        <f>(1+'Financial assumptions'!$C$11)^(('Key Inputs &amp; Outputs (BD)'!F$21-D21*'Key Inputs &amp; Outputs (BD)'!F$21)/12)*V21</f>
        <v>64372.967227614354</v>
      </c>
      <c r="AC21" s="164">
        <f>(1+'Financial assumptions'!$C$11)^(('Key Inputs &amp; Outputs (BD)'!G$21-E21*'Key Inputs &amp; Outputs (BD)'!G$21)/12)*W21</f>
        <v>76458.165031604076</v>
      </c>
      <c r="AD21" s="164">
        <f>(1+'Financial assumptions'!$C$11)^(('Key Inputs &amp; Outputs (BD)'!H$21-F21*'Key Inputs &amp; Outputs (BD)'!H$21)/12)*X21</f>
        <v>137227.32973866331</v>
      </c>
      <c r="AE21" s="164">
        <f>(1+'Financial assumptions'!$C$11)^(('Key Inputs &amp; Outputs (BD)'!I$21-G21*'Key Inputs &amp; Outputs (BD)'!I$21)/12)*Y21</f>
        <v>327111.87174439779</v>
      </c>
      <c r="AF21" s="168">
        <f>(1+'Financial assumptions'!$C$11)^(('Key Inputs &amp; Outputs (BD)'!J$21-H21*'Key Inputs &amp; Outputs (BD)'!J$21)/12)*Z21</f>
        <v>559473.01100294502</v>
      </c>
    </row>
    <row r="22" spans="1:32" ht="15.6" thickBot="1" x14ac:dyDescent="0.3">
      <c r="A22" s="58" t="s">
        <v>47</v>
      </c>
      <c r="B22" s="90"/>
      <c r="C22" s="223">
        <v>0.5</v>
      </c>
      <c r="D22" s="218">
        <v>0.5</v>
      </c>
      <c r="E22" s="218">
        <v>0.5</v>
      </c>
      <c r="F22" s="218">
        <v>0.5</v>
      </c>
      <c r="G22" s="218">
        <v>0.5</v>
      </c>
      <c r="H22" s="224">
        <v>0.5</v>
      </c>
      <c r="I22" s="223">
        <v>0.1</v>
      </c>
      <c r="J22" s="218">
        <v>0.1</v>
      </c>
      <c r="K22" s="218">
        <v>0.1</v>
      </c>
      <c r="L22" s="218">
        <v>0.1</v>
      </c>
      <c r="M22" s="218">
        <v>0.1</v>
      </c>
      <c r="N22" s="224">
        <v>0.1</v>
      </c>
      <c r="O22" s="402">
        <v>1</v>
      </c>
      <c r="P22" s="403">
        <v>1</v>
      </c>
      <c r="Q22" s="403">
        <v>1</v>
      </c>
      <c r="R22" s="403">
        <v>1</v>
      </c>
      <c r="S22" s="403">
        <v>1</v>
      </c>
      <c r="T22" s="404">
        <v>1</v>
      </c>
      <c r="U22" s="194">
        <f t="shared" ref="U22:Z22" si="2">I22*SUM(U8:U21)</f>
        <v>26850.63</v>
      </c>
      <c r="V22" s="169">
        <f t="shared" si="2"/>
        <v>44495.842400000001</v>
      </c>
      <c r="W22" s="169">
        <f t="shared" si="2"/>
        <v>58093.440000000002</v>
      </c>
      <c r="X22" s="169">
        <f t="shared" si="2"/>
        <v>109378.44</v>
      </c>
      <c r="Y22" s="169">
        <f t="shared" si="2"/>
        <v>287601.97200000001</v>
      </c>
      <c r="Z22" s="195">
        <f t="shared" si="2"/>
        <v>534060</v>
      </c>
      <c r="AA22" s="189">
        <f>(1+'Financial assumptions'!$C$11)^(('Key Inputs &amp; Outputs (BD)'!E$21-C22*'Key Inputs &amp; Outputs (BD)'!E$21)/12)*U22</f>
        <v>27827.663108812889</v>
      </c>
      <c r="AB22" s="170">
        <f>(1+'Financial assumptions'!$C$11)^(('Key Inputs &amp; Outputs (BD)'!F$21-D22*'Key Inputs &amp; Outputs (BD)'!F$21)/12)*V22</f>
        <v>46667.6332159046</v>
      </c>
      <c r="AC22" s="170">
        <f>(1+'Financial assumptions'!$C$11)^(('Key Inputs &amp; Outputs (BD)'!G$21-E22*'Key Inputs &amp; Outputs (BD)'!G$21)/12)*W22</f>
        <v>61659.148396493452</v>
      </c>
      <c r="AD22" s="170">
        <f>(1+'Financial assumptions'!$C$11)^(('Key Inputs &amp; Outputs (BD)'!H$21-F22*'Key Inputs &amp; Outputs (BD)'!H$21)/12)*X22</f>
        <v>117483.32756645646</v>
      </c>
      <c r="AE22" s="170">
        <f>(1+'Financial assumptions'!$C$11)^(('Key Inputs &amp; Outputs (BD)'!I$21-G22*'Key Inputs &amp; Outputs (BD)'!I$21)/12)*Y22</f>
        <v>312615.46530169691</v>
      </c>
      <c r="AF22" s="171">
        <f>(1+'Financial assumptions'!$C$11)^(('Key Inputs &amp; Outputs (BD)'!J$21-H22*'Key Inputs &amp; Outputs (BD)'!J$21)/12)*Z22</f>
        <v>587466</v>
      </c>
    </row>
    <row r="23" spans="1:32" ht="15.6" thickBot="1" x14ac:dyDescent="0.3"/>
    <row r="24" spans="1:32" ht="16.2" thickBot="1" x14ac:dyDescent="0.3">
      <c r="A24" s="484" t="s">
        <v>198</v>
      </c>
      <c r="B24" s="485"/>
      <c r="C24" s="485"/>
      <c r="D24" s="485"/>
      <c r="E24" s="485"/>
      <c r="F24" s="485"/>
      <c r="G24" s="485"/>
      <c r="H24" s="485"/>
      <c r="I24" s="485"/>
      <c r="J24" s="485"/>
      <c r="K24" s="485"/>
      <c r="L24" s="485"/>
      <c r="M24" s="485"/>
      <c r="N24" s="485"/>
      <c r="O24" s="485"/>
      <c r="P24" s="485"/>
      <c r="Q24" s="485"/>
      <c r="R24" s="485"/>
      <c r="S24" s="485"/>
      <c r="T24" s="486"/>
      <c r="U24" s="198">
        <f>SUM(U8:U22)</f>
        <v>295356.93</v>
      </c>
      <c r="V24" s="198">
        <f t="shared" ref="V24:AF24" si="3">SUM(V8:V22)</f>
        <v>489454.26640000002</v>
      </c>
      <c r="W24" s="198">
        <f t="shared" si="3"/>
        <v>639027.84000000008</v>
      </c>
      <c r="X24" s="198">
        <f t="shared" si="3"/>
        <v>1203162.8399999999</v>
      </c>
      <c r="Y24" s="198">
        <f t="shared" si="3"/>
        <v>3163621.6919999998</v>
      </c>
      <c r="Z24" s="198">
        <f t="shared" si="3"/>
        <v>5874660</v>
      </c>
      <c r="AA24" s="198">
        <f t="shared" si="3"/>
        <v>305109.71559281339</v>
      </c>
      <c r="AB24" s="198">
        <f t="shared" si="3"/>
        <v>511184.89739774412</v>
      </c>
      <c r="AC24" s="198">
        <f t="shared" si="3"/>
        <v>674800.85364369524</v>
      </c>
      <c r="AD24" s="198">
        <f t="shared" si="3"/>
        <v>1280399.0100755107</v>
      </c>
      <c r="AE24" s="198">
        <f t="shared" si="3"/>
        <v>3395085.5116909333</v>
      </c>
      <c r="AF24" s="198">
        <f t="shared" si="3"/>
        <v>6356783.3862651549</v>
      </c>
    </row>
    <row r="26" spans="1:32" ht="15.6" x14ac:dyDescent="0.3">
      <c r="A26" s="24" t="s">
        <v>259</v>
      </c>
      <c r="B26" s="20"/>
      <c r="C26" s="20"/>
      <c r="D26" s="28"/>
      <c r="L26" s="335" t="s">
        <v>40</v>
      </c>
      <c r="M26" s="335"/>
      <c r="N26" s="10"/>
      <c r="O26" s="10"/>
      <c r="P26" s="10"/>
      <c r="Q26" s="10"/>
      <c r="Z26" s="13" t="s">
        <v>129</v>
      </c>
    </row>
    <row r="27" spans="1:32" ht="17.399999999999999" x14ac:dyDescent="0.3">
      <c r="A27" s="15" t="s">
        <v>224</v>
      </c>
      <c r="B27" s="20"/>
      <c r="C27" s="20"/>
      <c r="D27" s="28"/>
      <c r="L27" s="341"/>
      <c r="M27" s="349" t="s">
        <v>303</v>
      </c>
      <c r="N27" s="349"/>
      <c r="O27" s="349"/>
      <c r="P27" s="349"/>
      <c r="Q27" s="349"/>
      <c r="Z27" s="15" t="s">
        <v>178</v>
      </c>
      <c r="AA27" s="15" t="s">
        <v>42</v>
      </c>
    </row>
    <row r="28" spans="1:32" ht="17.399999999999999" x14ac:dyDescent="0.3">
      <c r="A28" s="36"/>
      <c r="B28" s="20"/>
      <c r="C28" s="20"/>
      <c r="D28" s="28"/>
      <c r="L28" s="343"/>
      <c r="M28" s="349" t="s">
        <v>304</v>
      </c>
      <c r="N28" s="349"/>
      <c r="O28" s="349"/>
      <c r="P28" s="349"/>
      <c r="Q28" s="349"/>
      <c r="Z28" s="15" t="s">
        <v>179</v>
      </c>
      <c r="AA28" s="15" t="s">
        <v>48</v>
      </c>
    </row>
    <row r="29" spans="1:32" ht="17.399999999999999" x14ac:dyDescent="0.3">
      <c r="A29" s="36"/>
      <c r="B29" s="20"/>
      <c r="C29" s="20"/>
      <c r="D29" s="28"/>
      <c r="L29" s="344"/>
      <c r="M29" s="349" t="s">
        <v>306</v>
      </c>
      <c r="N29" s="349"/>
      <c r="O29" s="349"/>
      <c r="P29" s="349"/>
      <c r="Q29" s="349"/>
      <c r="Z29" s="15" t="s">
        <v>180</v>
      </c>
      <c r="AA29" s="15" t="s">
        <v>174</v>
      </c>
    </row>
    <row r="30" spans="1:32" ht="17.399999999999999" x14ac:dyDescent="0.3">
      <c r="B30" s="20"/>
      <c r="C30" s="20"/>
      <c r="D30" s="28"/>
      <c r="L30" s="346"/>
      <c r="M30" s="349" t="s">
        <v>305</v>
      </c>
      <c r="N30" s="349"/>
      <c r="O30" s="349"/>
      <c r="P30" s="349"/>
      <c r="Q30" s="349"/>
      <c r="Z30" s="15" t="s">
        <v>117</v>
      </c>
      <c r="AA30" s="15" t="s">
        <v>130</v>
      </c>
    </row>
    <row r="31" spans="1:32" ht="17.399999999999999" x14ac:dyDescent="0.3">
      <c r="B31" s="20"/>
      <c r="C31" s="20"/>
      <c r="D31" s="28"/>
      <c r="L31" s="347"/>
      <c r="M31" s="349" t="s">
        <v>171</v>
      </c>
      <c r="N31" s="349"/>
      <c r="O31" s="349"/>
      <c r="P31" s="349"/>
      <c r="Q31" s="349"/>
      <c r="Z31" s="15" t="s">
        <v>118</v>
      </c>
      <c r="AA31" s="15" t="s">
        <v>131</v>
      </c>
    </row>
    <row r="32" spans="1:32" x14ac:dyDescent="0.25">
      <c r="B32" s="20"/>
      <c r="C32" s="20"/>
      <c r="D32" s="28"/>
      <c r="L32" s="20"/>
      <c r="M32" s="20"/>
      <c r="N32" s="28"/>
      <c r="Z32" s="15" t="s">
        <v>119</v>
      </c>
      <c r="AA32" s="15" t="s">
        <v>132</v>
      </c>
    </row>
  </sheetData>
  <mergeCells count="6">
    <mergeCell ref="A24:T24"/>
    <mergeCell ref="AA6:AF6"/>
    <mergeCell ref="C6:H6"/>
    <mergeCell ref="I6:N6"/>
    <mergeCell ref="O6:T6"/>
    <mergeCell ref="U6:Z6"/>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theme="1"/>
  </sheetPr>
  <dimension ref="A1:D53"/>
  <sheetViews>
    <sheetView showGridLines="0" workbookViewId="0">
      <selection activeCell="B10" sqref="B10"/>
    </sheetView>
  </sheetViews>
  <sheetFormatPr defaultColWidth="8.88671875" defaultRowHeight="17.399999999999999" x14ac:dyDescent="0.3"/>
  <cols>
    <col min="1" max="1" width="2.33203125" style="3" customWidth="1"/>
    <col min="2" max="2" width="19" style="3" customWidth="1"/>
    <col min="3" max="3" width="135.88671875" style="3" customWidth="1"/>
    <col min="4" max="4" width="2" style="3" customWidth="1"/>
    <col min="5" max="16384" width="8.88671875" style="3"/>
  </cols>
  <sheetData>
    <row r="1" spans="1:4" x14ac:dyDescent="0.3">
      <c r="A1" s="2"/>
      <c r="B1" s="2"/>
      <c r="C1" s="2"/>
      <c r="D1" s="2"/>
    </row>
    <row r="2" spans="1:4" x14ac:dyDescent="0.3">
      <c r="A2" s="2"/>
      <c r="B2" s="2"/>
      <c r="C2" s="2"/>
      <c r="D2" s="2"/>
    </row>
    <row r="3" spans="1:4" x14ac:dyDescent="0.3">
      <c r="A3" s="2"/>
      <c r="B3" s="2"/>
      <c r="C3" s="2"/>
      <c r="D3" s="2"/>
    </row>
    <row r="4" spans="1:4" x14ac:dyDescent="0.3">
      <c r="A4" s="2"/>
      <c r="B4" s="2"/>
      <c r="C4" s="2"/>
      <c r="D4" s="2"/>
    </row>
    <row r="5" spans="1:4" x14ac:dyDescent="0.3">
      <c r="A5" s="2"/>
      <c r="B5" s="2"/>
      <c r="C5" s="2"/>
      <c r="D5" s="2"/>
    </row>
    <row r="6" spans="1:4" x14ac:dyDescent="0.3">
      <c r="A6" s="2"/>
      <c r="B6" s="2"/>
      <c r="C6" s="4"/>
      <c r="D6" s="2"/>
    </row>
    <row r="7" spans="1:4" x14ac:dyDescent="0.3">
      <c r="A7" s="2"/>
      <c r="B7" s="2"/>
      <c r="C7" s="2"/>
      <c r="D7" s="2"/>
    </row>
    <row r="8" spans="1:4" ht="21" x14ac:dyDescent="0.4">
      <c r="A8" s="2"/>
      <c r="B8" s="6" t="s">
        <v>78</v>
      </c>
      <c r="C8" s="2"/>
    </row>
    <row r="9" spans="1:4" ht="21" x14ac:dyDescent="0.4">
      <c r="A9" s="2"/>
      <c r="B9" s="6" t="s">
        <v>292</v>
      </c>
      <c r="C9" s="2"/>
    </row>
    <row r="10" spans="1:4" x14ac:dyDescent="0.3">
      <c r="A10" s="2"/>
      <c r="B10" s="2"/>
      <c r="C10" s="2"/>
      <c r="D10" s="2"/>
    </row>
    <row r="11" spans="1:4" x14ac:dyDescent="0.3">
      <c r="A11" s="2"/>
      <c r="B11" s="5" t="s">
        <v>87</v>
      </c>
      <c r="C11" s="2"/>
      <c r="D11" s="2"/>
    </row>
    <row r="12" spans="1:4" ht="39.9" customHeight="1" x14ac:dyDescent="0.3">
      <c r="A12" s="2"/>
      <c r="B12" s="406" t="s">
        <v>88</v>
      </c>
      <c r="C12" s="406"/>
      <c r="D12" s="2"/>
    </row>
    <row r="13" spans="1:4" x14ac:dyDescent="0.3">
      <c r="A13" s="2"/>
      <c r="B13" s="406" t="s">
        <v>89</v>
      </c>
      <c r="C13" s="406"/>
      <c r="D13" s="2"/>
    </row>
    <row r="14" spans="1:4" ht="57.9" customHeight="1" x14ac:dyDescent="0.3">
      <c r="A14" s="2"/>
      <c r="B14" s="406" t="s">
        <v>122</v>
      </c>
      <c r="C14" s="406"/>
      <c r="D14" s="2"/>
    </row>
    <row r="15" spans="1:4" ht="39.9" customHeight="1" x14ac:dyDescent="0.3">
      <c r="A15" s="2"/>
      <c r="B15" s="406" t="s">
        <v>90</v>
      </c>
      <c r="C15" s="406"/>
      <c r="D15" s="2"/>
    </row>
    <row r="16" spans="1:4" ht="57.9" customHeight="1" x14ac:dyDescent="0.3">
      <c r="A16" s="2"/>
      <c r="B16" s="406" t="s">
        <v>147</v>
      </c>
      <c r="C16" s="406"/>
      <c r="D16" s="2"/>
    </row>
    <row r="17" spans="1:4" ht="39.9" customHeight="1" x14ac:dyDescent="0.3">
      <c r="A17" s="2"/>
      <c r="B17" s="406" t="s">
        <v>123</v>
      </c>
      <c r="C17" s="406"/>
      <c r="D17" s="2"/>
    </row>
    <row r="18" spans="1:4" x14ac:dyDescent="0.3">
      <c r="A18" s="2"/>
      <c r="B18" s="8"/>
      <c r="C18" s="8"/>
      <c r="D18" s="2"/>
    </row>
    <row r="19" spans="1:4" x14ac:dyDescent="0.3">
      <c r="A19" s="2"/>
      <c r="B19" s="9" t="s">
        <v>83</v>
      </c>
      <c r="C19" s="8"/>
      <c r="D19" s="2"/>
    </row>
    <row r="20" spans="1:4" ht="37.5" customHeight="1" x14ac:dyDescent="0.3">
      <c r="A20" s="2"/>
      <c r="B20" s="406" t="s">
        <v>126</v>
      </c>
      <c r="C20" s="406"/>
      <c r="D20" s="2"/>
    </row>
    <row r="21" spans="1:4" ht="54" customHeight="1" x14ac:dyDescent="0.3">
      <c r="A21" s="2"/>
      <c r="B21" s="405" t="s">
        <v>107</v>
      </c>
      <c r="C21" s="405"/>
      <c r="D21" s="2"/>
    </row>
    <row r="22" spans="1:4" ht="35.25" customHeight="1" x14ac:dyDescent="0.3">
      <c r="A22" s="2"/>
      <c r="B22" s="406" t="s">
        <v>84</v>
      </c>
      <c r="C22" s="406"/>
      <c r="D22" s="2"/>
    </row>
    <row r="23" spans="1:4" ht="37.5" customHeight="1" x14ac:dyDescent="0.3">
      <c r="A23" s="2"/>
      <c r="B23" s="406" t="s">
        <v>85</v>
      </c>
      <c r="C23" s="406"/>
      <c r="D23" s="2"/>
    </row>
    <row r="24" spans="1:4" ht="36" customHeight="1" x14ac:dyDescent="0.3">
      <c r="A24" s="2"/>
      <c r="B24" s="406" t="s">
        <v>86</v>
      </c>
      <c r="C24" s="406"/>
      <c r="D24" s="2"/>
    </row>
    <row r="25" spans="1:4" x14ac:dyDescent="0.3">
      <c r="A25" s="2"/>
      <c r="B25" s="2"/>
      <c r="C25" s="2"/>
      <c r="D25" s="2"/>
    </row>
    <row r="26" spans="1:4" ht="102.75" customHeight="1" x14ac:dyDescent="0.3">
      <c r="A26" s="2"/>
      <c r="B26" s="406" t="s">
        <v>108</v>
      </c>
      <c r="C26" s="406"/>
      <c r="D26" s="2"/>
    </row>
    <row r="27" spans="1:4" x14ac:dyDescent="0.3">
      <c r="A27" s="2"/>
      <c r="B27" s="2"/>
      <c r="C27" s="2"/>
      <c r="D27" s="2"/>
    </row>
    <row r="28" spans="1:4" x14ac:dyDescent="0.3">
      <c r="A28" s="2"/>
      <c r="B28" s="2"/>
      <c r="C28" s="2"/>
      <c r="D28" s="2"/>
    </row>
    <row r="29" spans="1:4" x14ac:dyDescent="0.3">
      <c r="A29" s="2"/>
      <c r="B29" s="2"/>
      <c r="C29" s="2"/>
      <c r="D29" s="2"/>
    </row>
    <row r="30" spans="1:4" x14ac:dyDescent="0.3">
      <c r="A30" s="2"/>
      <c r="B30" s="2"/>
      <c r="C30" s="2"/>
      <c r="D30" s="2"/>
    </row>
    <row r="31" spans="1:4" x14ac:dyDescent="0.3">
      <c r="A31" s="2"/>
      <c r="B31" s="2"/>
      <c r="C31" s="2"/>
      <c r="D31" s="2"/>
    </row>
    <row r="32" spans="1:4" x14ac:dyDescent="0.3">
      <c r="A32" s="2"/>
      <c r="B32" s="2"/>
      <c r="C32" s="2"/>
      <c r="D32" s="2"/>
    </row>
    <row r="33" spans="1:4" x14ac:dyDescent="0.3">
      <c r="A33" s="2"/>
      <c r="B33" s="2"/>
      <c r="C33" s="2"/>
      <c r="D33" s="2"/>
    </row>
    <row r="34" spans="1:4" x14ac:dyDescent="0.3">
      <c r="A34" s="2"/>
      <c r="B34" s="2"/>
      <c r="C34" s="2"/>
      <c r="D34" s="2"/>
    </row>
    <row r="35" spans="1:4" x14ac:dyDescent="0.3">
      <c r="A35" s="2"/>
      <c r="B35" s="2"/>
      <c r="C35" s="2"/>
      <c r="D35" s="2"/>
    </row>
    <row r="36" spans="1:4" x14ac:dyDescent="0.3">
      <c r="A36" s="2"/>
      <c r="B36" s="2"/>
      <c r="C36" s="2"/>
      <c r="D36" s="2"/>
    </row>
    <row r="37" spans="1:4" x14ac:dyDescent="0.3">
      <c r="A37" s="2"/>
      <c r="B37" s="2"/>
      <c r="C37" s="2"/>
      <c r="D37" s="2"/>
    </row>
    <row r="38" spans="1:4" x14ac:dyDescent="0.3">
      <c r="A38" s="2"/>
      <c r="B38" s="2"/>
      <c r="C38" s="2"/>
      <c r="D38" s="2"/>
    </row>
    <row r="39" spans="1:4" x14ac:dyDescent="0.3">
      <c r="A39" s="2"/>
      <c r="B39" s="2"/>
      <c r="C39" s="2"/>
      <c r="D39" s="2"/>
    </row>
    <row r="40" spans="1:4" x14ac:dyDescent="0.3">
      <c r="A40" s="2"/>
      <c r="B40" s="2"/>
      <c r="C40" s="2"/>
      <c r="D40" s="2"/>
    </row>
    <row r="41" spans="1:4" x14ac:dyDescent="0.3">
      <c r="A41" s="2"/>
      <c r="B41" s="2"/>
      <c r="C41" s="2"/>
      <c r="D41" s="2"/>
    </row>
    <row r="42" spans="1:4" x14ac:dyDescent="0.3">
      <c r="A42" s="2"/>
      <c r="B42" s="2"/>
      <c r="C42" s="2"/>
      <c r="D42" s="2"/>
    </row>
    <row r="43" spans="1:4" x14ac:dyDescent="0.3">
      <c r="A43" s="2"/>
      <c r="B43" s="2"/>
      <c r="C43" s="2"/>
      <c r="D43" s="2"/>
    </row>
    <row r="44" spans="1:4" x14ac:dyDescent="0.3">
      <c r="A44" s="2"/>
      <c r="B44" s="2"/>
      <c r="C44" s="2"/>
      <c r="D44" s="2"/>
    </row>
    <row r="45" spans="1:4" x14ac:dyDescent="0.3">
      <c r="B45" s="289" t="s">
        <v>245</v>
      </c>
    </row>
    <row r="46" spans="1:4" ht="57" customHeight="1" x14ac:dyDescent="0.3">
      <c r="B46" s="410" t="s">
        <v>246</v>
      </c>
      <c r="C46" s="410"/>
    </row>
    <row r="47" spans="1:4" x14ac:dyDescent="0.3">
      <c r="B47" s="410" t="s">
        <v>247</v>
      </c>
      <c r="C47" s="410"/>
    </row>
    <row r="48" spans="1:4" x14ac:dyDescent="0.3">
      <c r="B48" s="3" t="s">
        <v>248</v>
      </c>
    </row>
    <row r="49" spans="2:2" x14ac:dyDescent="0.3">
      <c r="B49" s="3" t="s">
        <v>249</v>
      </c>
    </row>
    <row r="50" spans="2:2" x14ac:dyDescent="0.3">
      <c r="B50" s="3" t="s">
        <v>250</v>
      </c>
    </row>
    <row r="51" spans="2:2" x14ac:dyDescent="0.3">
      <c r="B51" s="3" t="s">
        <v>251</v>
      </c>
    </row>
    <row r="52" spans="2:2" x14ac:dyDescent="0.3">
      <c r="B52" s="3" t="s">
        <v>252</v>
      </c>
    </row>
    <row r="53" spans="2:2" x14ac:dyDescent="0.3">
      <c r="B53" s="3" t="s">
        <v>253</v>
      </c>
    </row>
  </sheetData>
  <mergeCells count="14">
    <mergeCell ref="B46:C46"/>
    <mergeCell ref="B47:C47"/>
    <mergeCell ref="B26:C26"/>
    <mergeCell ref="B23:C23"/>
    <mergeCell ref="B24:C24"/>
    <mergeCell ref="B20:C20"/>
    <mergeCell ref="B21:C21"/>
    <mergeCell ref="B22:C22"/>
    <mergeCell ref="B17:C17"/>
    <mergeCell ref="B12:C12"/>
    <mergeCell ref="B13:C13"/>
    <mergeCell ref="B14:C14"/>
    <mergeCell ref="B15:C15"/>
    <mergeCell ref="B16:C16"/>
  </mergeCells>
  <pageMargins left="0.7" right="0.7" top="0.75" bottom="0.75" header="0.3" footer="0.3"/>
  <pageSetup paperSize="9" orientation="portrait" horizontalDpi="0" verticalDpi="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theme="1"/>
  </sheetPr>
  <dimension ref="A1:D38"/>
  <sheetViews>
    <sheetView showGridLines="0" workbookViewId="0">
      <selection activeCell="B27" sqref="B27"/>
    </sheetView>
  </sheetViews>
  <sheetFormatPr defaultColWidth="8.88671875" defaultRowHeight="17.399999999999999" x14ac:dyDescent="0.3"/>
  <cols>
    <col min="1" max="1" width="2.33203125" style="3" customWidth="1"/>
    <col min="2" max="2" width="19" style="3" customWidth="1"/>
    <col min="3" max="3" width="135.88671875" style="3" customWidth="1"/>
    <col min="4" max="4" width="2" style="3" customWidth="1"/>
    <col min="5" max="16384" width="8.88671875" style="3"/>
  </cols>
  <sheetData>
    <row r="1" spans="1:4" x14ac:dyDescent="0.3">
      <c r="A1" s="2"/>
      <c r="B1" s="2"/>
      <c r="C1" s="2"/>
      <c r="D1" s="2"/>
    </row>
    <row r="2" spans="1:4" x14ac:dyDescent="0.3">
      <c r="A2" s="2"/>
      <c r="B2" s="2"/>
      <c r="C2" s="2"/>
      <c r="D2" s="2"/>
    </row>
    <row r="3" spans="1:4" x14ac:dyDescent="0.3">
      <c r="A3" s="2"/>
      <c r="B3" s="2"/>
      <c r="C3" s="2"/>
      <c r="D3" s="2"/>
    </row>
    <row r="4" spans="1:4" x14ac:dyDescent="0.3">
      <c r="A4" s="2"/>
      <c r="B4" s="2"/>
      <c r="C4" s="2"/>
      <c r="D4" s="2"/>
    </row>
    <row r="5" spans="1:4" x14ac:dyDescent="0.3">
      <c r="A5" s="2"/>
      <c r="B5" s="2"/>
      <c r="C5" s="2"/>
      <c r="D5" s="2"/>
    </row>
    <row r="6" spans="1:4" x14ac:dyDescent="0.3">
      <c r="A6" s="2"/>
      <c r="B6" s="2"/>
      <c r="C6" s="4"/>
      <c r="D6" s="2"/>
    </row>
    <row r="7" spans="1:4" x14ac:dyDescent="0.3">
      <c r="A7" s="2"/>
      <c r="B7" s="2"/>
      <c r="C7" s="2"/>
      <c r="D7" s="2"/>
    </row>
    <row r="8" spans="1:4" ht="21" x14ac:dyDescent="0.4">
      <c r="A8" s="2"/>
      <c r="B8" s="6" t="s">
        <v>78</v>
      </c>
      <c r="C8" s="2"/>
      <c r="D8" s="2"/>
    </row>
    <row r="9" spans="1:4" ht="21" x14ac:dyDescent="0.4">
      <c r="A9" s="2"/>
      <c r="B9" s="6" t="s">
        <v>292</v>
      </c>
      <c r="C9" s="2"/>
      <c r="D9" s="2"/>
    </row>
    <row r="10" spans="1:4" ht="21" x14ac:dyDescent="0.4">
      <c r="A10" s="2"/>
      <c r="B10" s="2"/>
      <c r="C10" s="6"/>
      <c r="D10" s="2"/>
    </row>
    <row r="11" spans="1:4" x14ac:dyDescent="0.3">
      <c r="A11" s="2"/>
      <c r="B11" s="5" t="s">
        <v>91</v>
      </c>
      <c r="C11" s="2"/>
      <c r="D11" s="2"/>
    </row>
    <row r="12" spans="1:4" ht="35.25" customHeight="1" x14ac:dyDescent="0.3">
      <c r="A12" s="2"/>
      <c r="B12" s="406" t="s">
        <v>310</v>
      </c>
      <c r="C12" s="406"/>
      <c r="D12" s="2"/>
    </row>
    <row r="13" spans="1:4" ht="59.25" customHeight="1" x14ac:dyDescent="0.3">
      <c r="A13" s="2"/>
      <c r="B13" s="406" t="s">
        <v>307</v>
      </c>
      <c r="C13" s="406"/>
      <c r="D13" s="2"/>
    </row>
    <row r="14" spans="1:4" x14ac:dyDescent="0.3">
      <c r="A14" s="2"/>
      <c r="B14" s="406" t="s">
        <v>308</v>
      </c>
      <c r="C14" s="406"/>
      <c r="D14" s="2"/>
    </row>
    <row r="15" spans="1:4" x14ac:dyDescent="0.3">
      <c r="A15" s="2"/>
      <c r="B15" s="2" t="s">
        <v>309</v>
      </c>
      <c r="C15" s="2"/>
      <c r="D15" s="2"/>
    </row>
    <row r="16" spans="1:4" ht="22.65" customHeight="1" x14ac:dyDescent="0.3">
      <c r="A16" s="2"/>
      <c r="B16" s="335" t="s">
        <v>40</v>
      </c>
      <c r="C16" s="335"/>
      <c r="D16" s="2"/>
    </row>
    <row r="17" spans="1:4" x14ac:dyDescent="0.3">
      <c r="A17" s="2"/>
      <c r="B17" s="341"/>
      <c r="C17" s="342" t="s">
        <v>303</v>
      </c>
      <c r="D17" s="2"/>
    </row>
    <row r="18" spans="1:4" ht="17.399999999999999" customHeight="1" x14ac:dyDescent="0.3">
      <c r="A18" s="2"/>
      <c r="B18" s="343"/>
      <c r="C18" s="342" t="s">
        <v>304</v>
      </c>
      <c r="D18" s="2"/>
    </row>
    <row r="19" spans="1:4" ht="18.600000000000001" customHeight="1" x14ac:dyDescent="0.3">
      <c r="A19" s="2"/>
      <c r="B19" s="344"/>
      <c r="C19" s="345" t="s">
        <v>306</v>
      </c>
      <c r="D19" s="2"/>
    </row>
    <row r="20" spans="1:4" ht="19.649999999999999" customHeight="1" x14ac:dyDescent="0.3">
      <c r="A20" s="2"/>
      <c r="B20" s="346"/>
      <c r="C20" s="342" t="s">
        <v>305</v>
      </c>
      <c r="D20" s="2"/>
    </row>
    <row r="21" spans="1:4" x14ac:dyDescent="0.3">
      <c r="A21" s="2"/>
      <c r="B21" s="347"/>
      <c r="C21" s="342" t="s">
        <v>171</v>
      </c>
      <c r="D21" s="2"/>
    </row>
    <row r="22" spans="1:4" ht="24" customHeight="1" x14ac:dyDescent="0.3">
      <c r="A22" s="2"/>
      <c r="B22" s="2" t="s">
        <v>92</v>
      </c>
      <c r="C22" s="2"/>
      <c r="D22" s="2"/>
    </row>
    <row r="23" spans="1:4" ht="55.5" customHeight="1" x14ac:dyDescent="0.3">
      <c r="A23" s="2"/>
      <c r="B23" s="406" t="s">
        <v>93</v>
      </c>
      <c r="C23" s="406"/>
      <c r="D23" s="2"/>
    </row>
    <row r="24" spans="1:4" x14ac:dyDescent="0.3">
      <c r="A24" s="2"/>
      <c r="B24" s="406" t="s">
        <v>121</v>
      </c>
      <c r="C24" s="406"/>
      <c r="D24" s="2"/>
    </row>
    <row r="25" spans="1:4" x14ac:dyDescent="0.3">
      <c r="A25" s="2"/>
      <c r="B25" s="2"/>
      <c r="C25" s="2"/>
      <c r="D25" s="2"/>
    </row>
    <row r="26" spans="1:4" ht="39.9" customHeight="1" x14ac:dyDescent="0.3">
      <c r="A26" s="2"/>
      <c r="B26" s="406" t="s">
        <v>94</v>
      </c>
      <c r="C26" s="406"/>
      <c r="D26" s="2"/>
    </row>
    <row r="27" spans="1:4" x14ac:dyDescent="0.3">
      <c r="A27" s="2"/>
      <c r="B27" s="350"/>
      <c r="C27" s="350"/>
      <c r="D27" s="2"/>
    </row>
    <row r="28" spans="1:4" x14ac:dyDescent="0.3">
      <c r="A28" s="2"/>
      <c r="B28" s="405" t="s">
        <v>95</v>
      </c>
      <c r="C28" s="405"/>
      <c r="D28" s="2"/>
    </row>
    <row r="29" spans="1:4" x14ac:dyDescent="0.3">
      <c r="A29" s="2"/>
      <c r="B29" s="2"/>
      <c r="C29" s="2"/>
      <c r="D29" s="2"/>
    </row>
    <row r="30" spans="1:4" x14ac:dyDescent="0.3">
      <c r="A30" s="2"/>
      <c r="B30" s="2"/>
      <c r="C30" s="2"/>
      <c r="D30" s="2"/>
    </row>
    <row r="31" spans="1:4" x14ac:dyDescent="0.3">
      <c r="A31" s="2"/>
      <c r="B31" s="2"/>
      <c r="C31" s="2"/>
      <c r="D31" s="2"/>
    </row>
    <row r="32" spans="1:4" x14ac:dyDescent="0.3">
      <c r="A32" s="2"/>
      <c r="B32" s="2"/>
      <c r="C32" s="2"/>
      <c r="D32" s="2"/>
    </row>
    <row r="33" spans="1:4" x14ac:dyDescent="0.3">
      <c r="A33" s="2"/>
      <c r="B33" s="2"/>
      <c r="C33" s="2"/>
      <c r="D33" s="2"/>
    </row>
    <row r="34" spans="1:4" x14ac:dyDescent="0.3">
      <c r="A34" s="2"/>
      <c r="B34" s="2"/>
      <c r="C34" s="2"/>
      <c r="D34" s="2"/>
    </row>
    <row r="35" spans="1:4" x14ac:dyDescent="0.3">
      <c r="A35" s="2"/>
      <c r="B35" s="2"/>
      <c r="C35" s="2"/>
      <c r="D35" s="2"/>
    </row>
    <row r="38" spans="1:4" ht="36" customHeight="1" x14ac:dyDescent="0.3"/>
  </sheetData>
  <mergeCells count="7">
    <mergeCell ref="B28:C28"/>
    <mergeCell ref="B23:C23"/>
    <mergeCell ref="B24:C24"/>
    <mergeCell ref="B26:C26"/>
    <mergeCell ref="B12:C12"/>
    <mergeCell ref="B13:C13"/>
    <mergeCell ref="B14:C14"/>
  </mergeCells>
  <pageMargins left="0.7" right="0.7" top="0.75" bottom="0.75" header="0.3" footer="0.3"/>
  <pageSetup paperSize="9" orientation="portrait" horizontalDpi="0" verticalDpi="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FF0000"/>
  </sheetPr>
  <dimension ref="B2:E20"/>
  <sheetViews>
    <sheetView workbookViewId="0">
      <selection activeCell="L20" sqref="L20"/>
    </sheetView>
  </sheetViews>
  <sheetFormatPr defaultColWidth="11.44140625" defaultRowHeight="14.4" x14ac:dyDescent="0.3"/>
  <sheetData>
    <row r="2" spans="2:5" ht="18" x14ac:dyDescent="0.35">
      <c r="B2" s="1" t="s">
        <v>96</v>
      </c>
    </row>
    <row r="4" spans="2:5" x14ac:dyDescent="0.3">
      <c r="B4" t="s">
        <v>97</v>
      </c>
    </row>
    <row r="5" spans="2:5" x14ac:dyDescent="0.3">
      <c r="C5" t="s">
        <v>98</v>
      </c>
      <c r="D5" t="s">
        <v>34</v>
      </c>
      <c r="E5" t="s">
        <v>99</v>
      </c>
    </row>
    <row r="6" spans="2:5" x14ac:dyDescent="0.3">
      <c r="B6" t="s">
        <v>73</v>
      </c>
      <c r="D6">
        <v>150000</v>
      </c>
    </row>
    <row r="7" spans="2:5" x14ac:dyDescent="0.3">
      <c r="B7" t="s">
        <v>100</v>
      </c>
      <c r="D7">
        <v>200000</v>
      </c>
    </row>
    <row r="8" spans="2:5" x14ac:dyDescent="0.3">
      <c r="B8" t="s">
        <v>101</v>
      </c>
      <c r="D8">
        <v>100000</v>
      </c>
    </row>
    <row r="9" spans="2:5" x14ac:dyDescent="0.3">
      <c r="B9" t="s">
        <v>102</v>
      </c>
      <c r="D9">
        <f>SUM(D6:D8)*0.2</f>
        <v>90000</v>
      </c>
    </row>
    <row r="10" spans="2:5" x14ac:dyDescent="0.3">
      <c r="B10" t="s">
        <v>98</v>
      </c>
      <c r="C10">
        <v>620000</v>
      </c>
      <c r="E10">
        <f>SUM(D6:D9)</f>
        <v>540000</v>
      </c>
    </row>
    <row r="11" spans="2:5" x14ac:dyDescent="0.3">
      <c r="B11" t="s">
        <v>99</v>
      </c>
      <c r="E11">
        <f>C10-E10</f>
        <v>80000</v>
      </c>
    </row>
    <row r="13" spans="2:5" x14ac:dyDescent="0.3">
      <c r="B13" t="s">
        <v>103</v>
      </c>
    </row>
    <row r="14" spans="2:5" x14ac:dyDescent="0.3">
      <c r="C14" t="s">
        <v>98</v>
      </c>
      <c r="D14" t="s">
        <v>34</v>
      </c>
      <c r="E14" t="s">
        <v>99</v>
      </c>
    </row>
    <row r="15" spans="2:5" x14ac:dyDescent="0.3">
      <c r="B15" t="s">
        <v>73</v>
      </c>
      <c r="D15">
        <v>150000</v>
      </c>
    </row>
    <row r="16" spans="2:5" x14ac:dyDescent="0.3">
      <c r="B16" t="s">
        <v>100</v>
      </c>
      <c r="D16">
        <v>200000</v>
      </c>
    </row>
    <row r="17" spans="2:5" x14ac:dyDescent="0.3">
      <c r="B17" t="s">
        <v>101</v>
      </c>
      <c r="D17">
        <v>100000</v>
      </c>
    </row>
    <row r="18" spans="2:5" x14ac:dyDescent="0.3">
      <c r="B18" t="s">
        <v>102</v>
      </c>
      <c r="D18">
        <f>SUM(D15:D17)*0.2</f>
        <v>90000</v>
      </c>
    </row>
    <row r="19" spans="2:5" x14ac:dyDescent="0.3">
      <c r="B19" t="s">
        <v>98</v>
      </c>
      <c r="C19">
        <v>500000</v>
      </c>
      <c r="E19">
        <f>C19</f>
        <v>500000</v>
      </c>
    </row>
    <row r="20" spans="2:5" x14ac:dyDescent="0.3">
      <c r="B20" t="s">
        <v>99</v>
      </c>
      <c r="E20">
        <f>SUM(D15:D18)-E19</f>
        <v>40000</v>
      </c>
    </row>
  </sheetData>
  <pageMargins left="0.7" right="0.7" top="0.75" bottom="0.75" header="0.3" footer="0.3"/>
  <pageSetup paperSize="9" orientation="portrait" horizontalDpi="0" verticalDpi="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theme="6"/>
  </sheetPr>
  <dimension ref="A2:M30"/>
  <sheetViews>
    <sheetView showGridLines="0" workbookViewId="0">
      <selection activeCell="C13" sqref="C13"/>
    </sheetView>
  </sheetViews>
  <sheetFormatPr defaultColWidth="8.88671875" defaultRowHeight="13.8" x14ac:dyDescent="0.25"/>
  <cols>
    <col min="1" max="1" width="19.44140625" style="10" customWidth="1"/>
    <col min="2" max="2" width="30.88671875" style="10" bestFit="1" customWidth="1"/>
    <col min="3" max="5" width="8.88671875" style="10"/>
    <col min="6" max="6" width="28.109375" style="10" bestFit="1" customWidth="1"/>
    <col min="7" max="16384" width="8.88671875" style="10"/>
  </cols>
  <sheetData>
    <row r="2" spans="1:13" ht="17.399999999999999" x14ac:dyDescent="0.3">
      <c r="A2" s="14" t="s">
        <v>145</v>
      </c>
    </row>
    <row r="3" spans="1:13" ht="15" x14ac:dyDescent="0.25">
      <c r="A3" s="15" t="s">
        <v>143</v>
      </c>
      <c r="B3" s="15"/>
    </row>
    <row r="4" spans="1:13" ht="15" x14ac:dyDescent="0.25">
      <c r="A4" s="15"/>
      <c r="B4" s="15"/>
    </row>
    <row r="5" spans="1:13" ht="15" x14ac:dyDescent="0.25">
      <c r="A5" s="15"/>
      <c r="B5" s="15"/>
    </row>
    <row r="6" spans="1:13" ht="15.6" thickBot="1" x14ac:dyDescent="0.3">
      <c r="A6" s="15"/>
      <c r="B6" s="15"/>
    </row>
    <row r="7" spans="1:13" ht="15.6" x14ac:dyDescent="0.3">
      <c r="A7" s="284" t="s">
        <v>2</v>
      </c>
      <c r="B7" s="285" t="s">
        <v>13</v>
      </c>
      <c r="C7" s="286" t="s">
        <v>146</v>
      </c>
      <c r="E7" s="335" t="s">
        <v>40</v>
      </c>
      <c r="F7" s="335"/>
    </row>
    <row r="8" spans="1:13" ht="17.399999999999999" x14ac:dyDescent="0.3">
      <c r="A8" s="411" t="s">
        <v>144</v>
      </c>
      <c r="B8" s="53" t="s">
        <v>36</v>
      </c>
      <c r="C8" s="287">
        <v>0.2</v>
      </c>
      <c r="E8" s="341"/>
      <c r="F8" s="349" t="s">
        <v>303</v>
      </c>
      <c r="G8" s="349"/>
      <c r="H8" s="349"/>
      <c r="I8" s="349"/>
      <c r="J8" s="349"/>
      <c r="K8" s="349"/>
      <c r="L8" s="349"/>
      <c r="M8" s="348"/>
    </row>
    <row r="9" spans="1:13" ht="17.399999999999999" x14ac:dyDescent="0.3">
      <c r="A9" s="411"/>
      <c r="B9" s="53" t="s">
        <v>12</v>
      </c>
      <c r="C9" s="287">
        <v>0.28000000000000003</v>
      </c>
      <c r="E9" s="343"/>
      <c r="F9" s="349" t="s">
        <v>304</v>
      </c>
      <c r="G9" s="349"/>
      <c r="H9" s="349"/>
      <c r="I9" s="349"/>
      <c r="J9" s="349"/>
      <c r="K9" s="349"/>
      <c r="L9" s="349"/>
      <c r="M9" s="348"/>
    </row>
    <row r="10" spans="1:13" ht="17.399999999999999" x14ac:dyDescent="0.3">
      <c r="A10" s="411"/>
      <c r="B10" s="53" t="s">
        <v>11</v>
      </c>
      <c r="C10" s="287">
        <v>0.15</v>
      </c>
      <c r="E10" s="344"/>
      <c r="F10" s="349" t="s">
        <v>306</v>
      </c>
      <c r="G10" s="349"/>
      <c r="H10" s="349"/>
      <c r="I10" s="349"/>
      <c r="J10" s="349"/>
      <c r="K10" s="349"/>
      <c r="L10" s="349"/>
      <c r="M10" s="348"/>
    </row>
    <row r="11" spans="1:13" ht="18" thickBot="1" x14ac:dyDescent="0.35">
      <c r="A11" s="412"/>
      <c r="B11" s="288" t="s">
        <v>211</v>
      </c>
      <c r="C11" s="287">
        <v>0.1</v>
      </c>
      <c r="E11" s="346"/>
      <c r="F11" s="349" t="s">
        <v>305</v>
      </c>
      <c r="G11" s="349"/>
      <c r="H11" s="349"/>
      <c r="I11" s="349"/>
      <c r="J11" s="349"/>
      <c r="K11" s="349"/>
      <c r="L11" s="349"/>
      <c r="M11" s="348"/>
    </row>
    <row r="12" spans="1:13" ht="14.1" customHeight="1" x14ac:dyDescent="0.3">
      <c r="A12" s="40"/>
      <c r="E12" s="347"/>
      <c r="F12" s="349" t="s">
        <v>171</v>
      </c>
      <c r="G12" s="349"/>
      <c r="H12" s="349"/>
      <c r="I12" s="349"/>
      <c r="J12" s="349"/>
      <c r="K12" s="349"/>
      <c r="L12" s="349"/>
      <c r="M12" s="348"/>
    </row>
    <row r="13" spans="1:13" ht="14.1" customHeight="1" x14ac:dyDescent="0.25"/>
    <row r="14" spans="1:13" ht="14.1" customHeight="1" x14ac:dyDescent="0.25">
      <c r="A14" s="10" t="s">
        <v>168</v>
      </c>
    </row>
    <row r="15" spans="1:13" ht="14.1" customHeight="1" x14ac:dyDescent="0.25">
      <c r="A15" s="10" t="s">
        <v>210</v>
      </c>
    </row>
    <row r="30" ht="36" customHeight="1" x14ac:dyDescent="0.25"/>
  </sheetData>
  <mergeCells count="1">
    <mergeCell ref="A8:A11"/>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theme="4"/>
  </sheetPr>
  <dimension ref="B2:L40"/>
  <sheetViews>
    <sheetView showGridLines="0" workbookViewId="0">
      <selection activeCell="K26" sqref="K26"/>
    </sheetView>
  </sheetViews>
  <sheetFormatPr defaultColWidth="8.88671875" defaultRowHeight="13.8" x14ac:dyDescent="0.25"/>
  <cols>
    <col min="1" max="16384" width="8.88671875" style="10"/>
  </cols>
  <sheetData>
    <row r="2" spans="2:12" ht="17.399999999999999" x14ac:dyDescent="0.3">
      <c r="B2" s="7"/>
    </row>
    <row r="6" spans="2:12" ht="15" x14ac:dyDescent="0.25">
      <c r="B6" s="15"/>
      <c r="C6" s="15"/>
      <c r="D6" s="15"/>
      <c r="E6" s="15"/>
      <c r="F6" s="15"/>
      <c r="G6" s="15"/>
      <c r="H6" s="15"/>
      <c r="I6" s="15"/>
      <c r="J6" s="15"/>
      <c r="K6" s="15"/>
      <c r="L6" s="15"/>
    </row>
    <row r="7" spans="2:12" ht="15" x14ac:dyDescent="0.25">
      <c r="B7" s="15"/>
      <c r="C7" s="15"/>
      <c r="D7" s="15"/>
      <c r="E7" s="15"/>
      <c r="F7" s="15"/>
      <c r="G7" s="15"/>
      <c r="H7" s="15"/>
      <c r="I7" s="15"/>
      <c r="J7" s="15"/>
      <c r="K7" s="15"/>
      <c r="L7" s="15"/>
    </row>
    <row r="8" spans="2:12" ht="15" x14ac:dyDescent="0.25">
      <c r="B8" s="15"/>
      <c r="C8" s="15"/>
      <c r="D8" s="15"/>
      <c r="E8" s="15"/>
      <c r="F8" s="15"/>
      <c r="G8" s="15"/>
      <c r="H8" s="15"/>
      <c r="I8" s="15"/>
      <c r="J8" s="15"/>
      <c r="K8" s="15"/>
      <c r="L8" s="15"/>
    </row>
    <row r="9" spans="2:12" ht="15" x14ac:dyDescent="0.25">
      <c r="B9" s="15"/>
      <c r="C9" s="15"/>
      <c r="D9" s="15"/>
      <c r="E9" s="15"/>
      <c r="F9" s="15"/>
      <c r="G9" s="15"/>
      <c r="H9" s="15"/>
      <c r="I9" s="15"/>
      <c r="J9" s="15"/>
      <c r="K9" s="15"/>
      <c r="L9" s="15"/>
    </row>
    <row r="10" spans="2:12" ht="15" x14ac:dyDescent="0.25">
      <c r="B10" s="15"/>
      <c r="C10" s="15"/>
      <c r="D10" s="15"/>
      <c r="E10" s="15"/>
      <c r="F10" s="15"/>
      <c r="G10" s="15"/>
      <c r="H10" s="15"/>
      <c r="I10" s="15"/>
      <c r="J10" s="15"/>
      <c r="K10" s="15"/>
      <c r="L10" s="15"/>
    </row>
    <row r="11" spans="2:12" ht="15" x14ac:dyDescent="0.25">
      <c r="B11" s="15"/>
      <c r="C11" s="15"/>
      <c r="D11" s="15"/>
      <c r="E11" s="15"/>
      <c r="F11" s="15"/>
      <c r="G11" s="15"/>
      <c r="H11" s="15"/>
      <c r="I11" s="15"/>
      <c r="J11" s="15"/>
      <c r="K11" s="15"/>
      <c r="L11" s="15"/>
    </row>
    <row r="12" spans="2:12" ht="15" x14ac:dyDescent="0.25">
      <c r="B12" s="15"/>
      <c r="C12" s="15"/>
      <c r="D12" s="15"/>
      <c r="E12" s="15"/>
      <c r="F12" s="15"/>
      <c r="G12" s="15"/>
      <c r="H12" s="15"/>
      <c r="I12" s="15"/>
      <c r="J12" s="15"/>
      <c r="K12" s="15"/>
      <c r="L12" s="15"/>
    </row>
    <row r="13" spans="2:12" ht="15" x14ac:dyDescent="0.25">
      <c r="B13" s="15"/>
      <c r="C13" s="15"/>
      <c r="D13" s="15"/>
      <c r="E13" s="15"/>
      <c r="F13" s="15"/>
      <c r="G13" s="15"/>
      <c r="H13" s="15"/>
      <c r="I13" s="15"/>
      <c r="J13" s="15"/>
      <c r="K13" s="15"/>
      <c r="L13" s="15"/>
    </row>
    <row r="14" spans="2:12" ht="15" x14ac:dyDescent="0.25">
      <c r="B14" s="15"/>
      <c r="C14" s="15"/>
      <c r="D14" s="15"/>
      <c r="E14" s="15"/>
      <c r="F14" s="15"/>
      <c r="G14" s="15"/>
      <c r="H14" s="15"/>
      <c r="I14" s="15"/>
      <c r="J14" s="15"/>
      <c r="K14" s="15"/>
      <c r="L14" s="15"/>
    </row>
    <row r="15" spans="2:12" ht="15" x14ac:dyDescent="0.25">
      <c r="B15" s="15"/>
      <c r="C15" s="15"/>
      <c r="D15" s="15"/>
      <c r="E15" s="15"/>
      <c r="F15" s="15"/>
      <c r="G15" s="15"/>
      <c r="H15" s="15"/>
      <c r="I15" s="15"/>
      <c r="J15" s="15"/>
      <c r="K15" s="15"/>
      <c r="L15" s="15"/>
    </row>
    <row r="16" spans="2:12" ht="15" x14ac:dyDescent="0.25">
      <c r="B16" s="15"/>
      <c r="C16" s="15"/>
      <c r="D16" s="15"/>
      <c r="E16" s="15"/>
      <c r="F16" s="15"/>
      <c r="G16" s="15"/>
      <c r="H16" s="15"/>
      <c r="I16" s="15"/>
      <c r="J16" s="15"/>
      <c r="K16" s="15"/>
      <c r="L16" s="15"/>
    </row>
    <row r="17" spans="2:12" ht="15" x14ac:dyDescent="0.25">
      <c r="B17" s="15"/>
      <c r="C17" s="15"/>
      <c r="D17" s="15"/>
      <c r="E17" s="15"/>
      <c r="F17" s="15"/>
      <c r="G17" s="15"/>
      <c r="H17" s="15"/>
      <c r="I17" s="15"/>
      <c r="J17" s="15"/>
      <c r="K17" s="15"/>
      <c r="L17" s="15"/>
    </row>
    <row r="18" spans="2:12" ht="15" x14ac:dyDescent="0.25">
      <c r="B18" s="15"/>
      <c r="C18" s="15"/>
      <c r="D18" s="15"/>
      <c r="E18" s="15"/>
      <c r="F18" s="15"/>
      <c r="G18" s="15"/>
      <c r="H18" s="15"/>
      <c r="I18" s="15"/>
      <c r="J18" s="15"/>
      <c r="K18" s="15"/>
      <c r="L18" s="15"/>
    </row>
    <row r="19" spans="2:12" ht="15" x14ac:dyDescent="0.25">
      <c r="B19" s="15"/>
      <c r="C19" s="15"/>
      <c r="D19" s="15"/>
      <c r="E19" s="15"/>
      <c r="F19" s="15"/>
      <c r="G19" s="15"/>
      <c r="H19" s="15"/>
      <c r="I19" s="15"/>
      <c r="J19" s="15"/>
      <c r="K19" s="15"/>
      <c r="L19" s="15"/>
    </row>
    <row r="20" spans="2:12" ht="15" x14ac:dyDescent="0.25">
      <c r="B20" s="15"/>
      <c r="C20" s="15"/>
      <c r="D20" s="15"/>
      <c r="E20" s="15"/>
      <c r="F20" s="15"/>
      <c r="G20" s="15"/>
      <c r="H20" s="15"/>
      <c r="I20" s="15"/>
      <c r="J20" s="15"/>
      <c r="K20" s="15"/>
      <c r="L20" s="15"/>
    </row>
    <row r="21" spans="2:12" ht="15" x14ac:dyDescent="0.25">
      <c r="B21" s="15"/>
      <c r="C21" s="15"/>
      <c r="D21" s="15"/>
      <c r="E21" s="15"/>
      <c r="F21" s="15"/>
      <c r="G21" s="15"/>
      <c r="H21" s="15"/>
      <c r="I21" s="15"/>
      <c r="J21" s="15"/>
      <c r="K21" s="15"/>
      <c r="L21" s="15"/>
    </row>
    <row r="22" spans="2:12" ht="15" x14ac:dyDescent="0.25">
      <c r="B22" s="15"/>
      <c r="C22" s="15"/>
      <c r="D22" s="15"/>
      <c r="E22" s="15"/>
      <c r="F22" s="15"/>
      <c r="G22" s="15"/>
      <c r="H22" s="15"/>
      <c r="I22" s="15"/>
      <c r="J22" s="15"/>
      <c r="K22" s="15"/>
      <c r="L22" s="15"/>
    </row>
    <row r="23" spans="2:12" ht="15" x14ac:dyDescent="0.25">
      <c r="B23" s="15"/>
      <c r="C23" s="15"/>
      <c r="D23" s="15"/>
      <c r="E23" s="15"/>
      <c r="F23" s="15"/>
      <c r="G23" s="15"/>
      <c r="H23" s="15"/>
      <c r="I23" s="15"/>
      <c r="J23" s="15"/>
      <c r="K23" s="15"/>
      <c r="L23" s="15"/>
    </row>
    <row r="24" spans="2:12" ht="15" x14ac:dyDescent="0.25">
      <c r="B24" s="15"/>
      <c r="C24" s="15"/>
      <c r="D24" s="15"/>
      <c r="E24" s="15"/>
      <c r="F24" s="15"/>
      <c r="G24" s="15"/>
      <c r="H24" s="15"/>
      <c r="I24" s="15"/>
      <c r="J24" s="15"/>
      <c r="K24" s="15"/>
      <c r="L24" s="15"/>
    </row>
    <row r="25" spans="2:12" ht="15" x14ac:dyDescent="0.25">
      <c r="B25" s="15"/>
      <c r="C25" s="15"/>
      <c r="D25" s="15"/>
      <c r="E25" s="15"/>
      <c r="F25" s="15"/>
      <c r="G25" s="15"/>
      <c r="H25" s="15"/>
      <c r="I25" s="15"/>
      <c r="J25" s="15"/>
      <c r="K25" s="15"/>
      <c r="L25" s="15"/>
    </row>
    <row r="26" spans="2:12" ht="15" x14ac:dyDescent="0.25">
      <c r="B26" s="15"/>
      <c r="C26" s="15"/>
      <c r="D26" s="15"/>
      <c r="E26" s="15"/>
      <c r="F26" s="15"/>
      <c r="G26" s="15"/>
      <c r="H26" s="15"/>
      <c r="I26" s="15"/>
      <c r="J26" s="15"/>
      <c r="K26" s="15"/>
      <c r="L26" s="15"/>
    </row>
    <row r="27" spans="2:12" ht="15" x14ac:dyDescent="0.25">
      <c r="B27" s="15"/>
      <c r="C27" s="15"/>
      <c r="D27" s="15"/>
      <c r="E27" s="15"/>
      <c r="F27" s="15"/>
      <c r="G27" s="15"/>
      <c r="H27" s="15"/>
      <c r="I27" s="15"/>
      <c r="J27" s="15"/>
      <c r="K27" s="15"/>
      <c r="L27" s="15"/>
    </row>
    <row r="28" spans="2:12" ht="15" x14ac:dyDescent="0.25">
      <c r="B28" s="15"/>
      <c r="C28" s="15"/>
      <c r="D28" s="15"/>
      <c r="E28" s="15"/>
      <c r="F28" s="15"/>
      <c r="G28" s="15"/>
      <c r="H28" s="15"/>
      <c r="I28" s="15"/>
      <c r="J28" s="15"/>
      <c r="K28" s="15"/>
      <c r="L28" s="15"/>
    </row>
    <row r="29" spans="2:12" ht="15" x14ac:dyDescent="0.25">
      <c r="B29" s="15"/>
      <c r="C29" s="15"/>
      <c r="D29" s="15"/>
      <c r="E29" s="15"/>
      <c r="F29" s="15"/>
      <c r="G29" s="15"/>
      <c r="H29" s="15"/>
      <c r="I29" s="15"/>
      <c r="J29" s="15"/>
      <c r="K29" s="15"/>
      <c r="L29" s="15"/>
    </row>
    <row r="30" spans="2:12" ht="15" x14ac:dyDescent="0.25">
      <c r="B30" s="15"/>
      <c r="C30" s="15"/>
      <c r="D30" s="15"/>
      <c r="E30" s="15"/>
      <c r="F30" s="15"/>
      <c r="G30" s="15"/>
      <c r="H30" s="15"/>
      <c r="I30" s="15"/>
      <c r="J30" s="15"/>
      <c r="K30" s="15"/>
      <c r="L30" s="15"/>
    </row>
    <row r="31" spans="2:12" ht="15" x14ac:dyDescent="0.25">
      <c r="B31" s="15"/>
      <c r="C31" s="15"/>
      <c r="D31" s="15"/>
      <c r="E31" s="15"/>
      <c r="F31" s="15"/>
      <c r="G31" s="15"/>
      <c r="H31" s="15"/>
      <c r="I31" s="15"/>
      <c r="J31" s="15"/>
      <c r="K31" s="15"/>
      <c r="L31" s="15"/>
    </row>
    <row r="32" spans="2:12" ht="15" x14ac:dyDescent="0.25">
      <c r="B32" s="15"/>
      <c r="C32" s="15"/>
      <c r="D32" s="15"/>
      <c r="E32" s="15"/>
      <c r="F32" s="15"/>
      <c r="G32" s="15"/>
      <c r="H32" s="15"/>
      <c r="I32" s="15"/>
      <c r="J32" s="15"/>
      <c r="K32" s="15"/>
      <c r="L32" s="15"/>
    </row>
    <row r="33" spans="2:12" ht="15" x14ac:dyDescent="0.25">
      <c r="B33" s="15"/>
      <c r="C33" s="15"/>
      <c r="D33" s="15"/>
      <c r="E33" s="15"/>
      <c r="F33" s="15"/>
      <c r="G33" s="15"/>
      <c r="H33" s="15"/>
      <c r="I33" s="15"/>
      <c r="J33" s="15"/>
      <c r="K33" s="15"/>
      <c r="L33" s="15"/>
    </row>
    <row r="34" spans="2:12" ht="15" x14ac:dyDescent="0.25">
      <c r="B34" s="15"/>
      <c r="C34" s="15"/>
      <c r="D34" s="15"/>
      <c r="E34" s="15"/>
      <c r="F34" s="15"/>
      <c r="G34" s="15"/>
      <c r="H34" s="15"/>
      <c r="I34" s="15"/>
      <c r="J34" s="15"/>
      <c r="K34" s="15"/>
      <c r="L34" s="15"/>
    </row>
    <row r="35" spans="2:12" ht="15" x14ac:dyDescent="0.25">
      <c r="B35" s="15"/>
      <c r="C35" s="15"/>
      <c r="D35" s="15"/>
      <c r="E35" s="15"/>
      <c r="F35" s="15"/>
      <c r="G35" s="15"/>
      <c r="H35" s="15"/>
      <c r="I35" s="15"/>
      <c r="J35" s="15"/>
      <c r="K35" s="15"/>
      <c r="L35" s="15"/>
    </row>
    <row r="36" spans="2:12" ht="15" x14ac:dyDescent="0.25">
      <c r="B36" s="15"/>
      <c r="C36" s="15"/>
      <c r="D36" s="15"/>
      <c r="E36" s="15"/>
      <c r="F36" s="15"/>
      <c r="G36" s="15"/>
      <c r="H36" s="15"/>
      <c r="I36" s="15"/>
      <c r="J36" s="15"/>
      <c r="K36" s="15"/>
      <c r="L36" s="15"/>
    </row>
    <row r="37" spans="2:12" ht="15" x14ac:dyDescent="0.25">
      <c r="B37" s="15"/>
      <c r="C37" s="15"/>
      <c r="D37" s="15"/>
      <c r="E37" s="15"/>
      <c r="F37" s="15"/>
      <c r="G37" s="15"/>
      <c r="H37" s="15"/>
      <c r="I37" s="15"/>
      <c r="J37" s="15"/>
      <c r="K37" s="15"/>
      <c r="L37" s="15"/>
    </row>
    <row r="38" spans="2:12" ht="15" x14ac:dyDescent="0.25">
      <c r="B38" s="15"/>
      <c r="C38" s="15"/>
      <c r="D38" s="15"/>
      <c r="E38" s="15"/>
      <c r="F38" s="15"/>
      <c r="G38" s="15"/>
      <c r="H38" s="15"/>
      <c r="I38" s="15"/>
      <c r="J38" s="15"/>
      <c r="K38" s="15"/>
      <c r="L38" s="15"/>
    </row>
    <row r="39" spans="2:12" ht="36" customHeight="1" x14ac:dyDescent="0.25">
      <c r="B39" s="15"/>
      <c r="C39" s="15"/>
      <c r="D39" s="15"/>
      <c r="E39" s="15"/>
      <c r="F39" s="15"/>
      <c r="G39" s="15"/>
      <c r="H39" s="15"/>
      <c r="I39" s="15"/>
      <c r="J39" s="15"/>
      <c r="K39" s="15"/>
      <c r="L39" s="15"/>
    </row>
    <row r="40" spans="2:12" ht="15" x14ac:dyDescent="0.25">
      <c r="B40" s="15"/>
      <c r="C40" s="15"/>
      <c r="D40" s="15"/>
      <c r="E40" s="15"/>
      <c r="F40" s="15"/>
      <c r="G40" s="15"/>
      <c r="H40" s="15"/>
      <c r="I40" s="15"/>
      <c r="J40" s="15"/>
      <c r="K40" s="15"/>
      <c r="L40" s="15"/>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theme="4"/>
    <pageSetUpPr fitToPage="1"/>
  </sheetPr>
  <dimension ref="A1:R52"/>
  <sheetViews>
    <sheetView showGridLines="0" workbookViewId="0">
      <selection activeCell="N35" sqref="N35"/>
    </sheetView>
  </sheetViews>
  <sheetFormatPr defaultColWidth="8.88671875" defaultRowHeight="15" x14ac:dyDescent="0.25"/>
  <cols>
    <col min="1" max="1" width="13" style="15" customWidth="1"/>
    <col min="2" max="2" width="11.88671875" style="10" bestFit="1" customWidth="1"/>
    <col min="3" max="3" width="35.44140625" style="10" customWidth="1"/>
    <col min="4" max="4" width="15" style="10" bestFit="1" customWidth="1"/>
    <col min="5" max="6" width="14.88671875" style="10" customWidth="1"/>
    <col min="7" max="7" width="16.44140625" style="10" customWidth="1"/>
    <col min="8" max="9" width="14.88671875" style="10" customWidth="1"/>
    <col min="10" max="10" width="8.33203125" style="10" customWidth="1"/>
    <col min="11" max="11" width="6.6640625" style="10" customWidth="1"/>
    <col min="12" max="12" width="36" style="10" bestFit="1" customWidth="1"/>
    <col min="13" max="14" width="8.88671875" style="10"/>
    <col min="15" max="15" width="22.44140625" style="10" bestFit="1" customWidth="1"/>
    <col min="16" max="16384" width="8.88671875" style="10"/>
  </cols>
  <sheetData>
    <row r="1" spans="1:18" s="3" customFormat="1" ht="17.399999999999999" x14ac:dyDescent="0.3">
      <c r="A1" s="18"/>
      <c r="B1" s="4"/>
      <c r="C1" s="2"/>
      <c r="D1" s="2"/>
      <c r="E1" s="2"/>
      <c r="F1" s="2"/>
      <c r="G1" s="2"/>
      <c r="H1" s="2"/>
      <c r="I1" s="2"/>
      <c r="J1" s="2"/>
      <c r="K1" s="2"/>
      <c r="L1" s="2"/>
    </row>
    <row r="2" spans="1:18" s="3" customFormat="1" ht="6" customHeight="1" x14ac:dyDescent="0.3">
      <c r="A2" s="18"/>
      <c r="B2" s="2"/>
      <c r="C2" s="2"/>
      <c r="D2" s="2"/>
      <c r="E2" s="2"/>
      <c r="F2" s="2"/>
      <c r="G2" s="2"/>
      <c r="H2" s="2"/>
      <c r="I2" s="2"/>
      <c r="J2" s="2"/>
      <c r="K2" s="2"/>
      <c r="L2" s="2"/>
    </row>
    <row r="3" spans="1:18" s="3" customFormat="1" ht="21" x14ac:dyDescent="0.4">
      <c r="A3" s="18"/>
      <c r="B3" s="6" t="s">
        <v>78</v>
      </c>
      <c r="C3" s="2"/>
      <c r="D3" s="2"/>
      <c r="E3" s="2"/>
      <c r="F3" s="2"/>
      <c r="G3" s="2"/>
      <c r="H3" s="2"/>
      <c r="I3" s="2"/>
      <c r="J3" s="2"/>
      <c r="K3" s="2"/>
      <c r="L3" s="2"/>
    </row>
    <row r="4" spans="1:18" s="3" customFormat="1" ht="17.399999999999999" x14ac:dyDescent="0.3">
      <c r="A4" s="18"/>
      <c r="B4" s="5" t="s">
        <v>292</v>
      </c>
      <c r="C4" s="2"/>
      <c r="D4" s="2"/>
      <c r="E4" s="2"/>
      <c r="F4" s="2"/>
      <c r="G4" s="2"/>
      <c r="H4" s="2"/>
      <c r="I4" s="2"/>
      <c r="J4" s="2"/>
      <c r="K4" s="2"/>
      <c r="L4" s="2"/>
    </row>
    <row r="5" spans="1:18" s="3" customFormat="1" ht="15.75" customHeight="1" x14ac:dyDescent="0.3">
      <c r="A5" s="18"/>
      <c r="B5" s="17"/>
      <c r="C5" s="18"/>
      <c r="D5" s="18"/>
      <c r="E5" s="18"/>
      <c r="F5" s="18"/>
      <c r="G5" s="18"/>
      <c r="H5" s="18"/>
      <c r="I5" s="18"/>
      <c r="J5" s="18"/>
      <c r="K5" s="18"/>
      <c r="L5" s="18"/>
    </row>
    <row r="6" spans="1:18" s="15" customFormat="1" ht="15.6" x14ac:dyDescent="0.3">
      <c r="A6" s="21" t="s">
        <v>38</v>
      </c>
      <c r="B6" s="242" t="s">
        <v>2</v>
      </c>
      <c r="C6" s="242" t="s">
        <v>13</v>
      </c>
      <c r="D6" s="242" t="s">
        <v>1</v>
      </c>
      <c r="E6" s="242" t="s">
        <v>62</v>
      </c>
      <c r="F6" s="242" t="s">
        <v>2</v>
      </c>
      <c r="G6" s="242" t="s">
        <v>67</v>
      </c>
      <c r="H6" s="242"/>
      <c r="I6" s="242" t="s">
        <v>173</v>
      </c>
      <c r="J6" s="239"/>
      <c r="K6" s="335" t="s">
        <v>40</v>
      </c>
      <c r="L6" s="335"/>
      <c r="M6" s="10"/>
      <c r="N6" s="10"/>
      <c r="O6" s="10"/>
      <c r="P6" s="10"/>
      <c r="Q6" s="10"/>
      <c r="R6" s="10"/>
    </row>
    <row r="7" spans="1:18" s="15" customFormat="1" ht="15.9" customHeight="1" x14ac:dyDescent="0.3">
      <c r="B7" s="424" t="s">
        <v>3</v>
      </c>
      <c r="C7" s="82" t="s">
        <v>127</v>
      </c>
      <c r="D7" s="53" t="s">
        <v>215</v>
      </c>
      <c r="E7" s="386">
        <v>100</v>
      </c>
      <c r="F7" s="413" t="s">
        <v>35</v>
      </c>
      <c r="G7" s="415" t="s">
        <v>231</v>
      </c>
      <c r="H7" s="416"/>
      <c r="I7" s="417"/>
      <c r="J7" s="240"/>
      <c r="K7" s="341"/>
      <c r="L7" s="349" t="s">
        <v>303</v>
      </c>
      <c r="M7" s="349"/>
      <c r="N7" s="349"/>
      <c r="O7" s="349"/>
      <c r="P7" s="348"/>
      <c r="Q7" s="348"/>
      <c r="R7" s="348"/>
    </row>
    <row r="8" spans="1:18" s="15" customFormat="1" ht="17.399999999999999" x14ac:dyDescent="0.3">
      <c r="B8" s="424"/>
      <c r="C8" s="252" t="s">
        <v>201</v>
      </c>
      <c r="D8" s="53" t="s">
        <v>200</v>
      </c>
      <c r="E8" s="387">
        <v>55000000</v>
      </c>
      <c r="F8" s="414"/>
      <c r="G8" s="418"/>
      <c r="H8" s="419"/>
      <c r="I8" s="420"/>
      <c r="J8" s="241"/>
      <c r="K8" s="343"/>
      <c r="L8" s="349" t="s">
        <v>304</v>
      </c>
      <c r="M8" s="349"/>
      <c r="N8" s="349"/>
      <c r="O8" s="349"/>
      <c r="P8" s="348"/>
      <c r="Q8" s="348"/>
      <c r="R8" s="348"/>
    </row>
    <row r="9" spans="1:18" s="15" customFormat="1" ht="17.399999999999999" x14ac:dyDescent="0.3">
      <c r="B9" s="424"/>
      <c r="C9" s="253" t="s">
        <v>202</v>
      </c>
      <c r="D9" s="53" t="s">
        <v>44</v>
      </c>
      <c r="E9" s="388">
        <v>1</v>
      </c>
      <c r="F9" s="414"/>
      <c r="G9" s="418"/>
      <c r="H9" s="419"/>
      <c r="I9" s="420"/>
      <c r="J9" s="241"/>
      <c r="K9" s="344"/>
      <c r="L9" s="349" t="s">
        <v>306</v>
      </c>
      <c r="M9" s="349"/>
      <c r="N9" s="349"/>
      <c r="O9" s="349"/>
      <c r="P9" s="348"/>
      <c r="Q9" s="348"/>
      <c r="R9" s="348"/>
    </row>
    <row r="10" spans="1:18" s="15" customFormat="1" ht="17.399999999999999" x14ac:dyDescent="0.3">
      <c r="B10" s="424"/>
      <c r="C10" s="257" t="s">
        <v>155</v>
      </c>
      <c r="D10" s="53" t="s">
        <v>128</v>
      </c>
      <c r="E10" s="246">
        <v>0.2</v>
      </c>
      <c r="F10" s="414"/>
      <c r="G10" s="421"/>
      <c r="H10" s="422"/>
      <c r="I10" s="423"/>
      <c r="J10" s="241"/>
      <c r="K10" s="346"/>
      <c r="L10" s="349" t="s">
        <v>305</v>
      </c>
      <c r="M10" s="349"/>
      <c r="N10" s="349"/>
      <c r="O10" s="349"/>
      <c r="P10" s="348"/>
      <c r="Q10" s="348"/>
      <c r="R10" s="348"/>
    </row>
    <row r="11" spans="1:18" s="15" customFormat="1" ht="17.399999999999999" x14ac:dyDescent="0.3">
      <c r="B11" s="424"/>
      <c r="C11" s="257" t="s">
        <v>207</v>
      </c>
      <c r="D11" s="53" t="s">
        <v>185</v>
      </c>
      <c r="E11" s="389">
        <v>3.0000000000000001E-3</v>
      </c>
      <c r="F11" s="414"/>
      <c r="G11" s="254" t="s">
        <v>227</v>
      </c>
      <c r="H11" s="107">
        <v>400</v>
      </c>
      <c r="I11" s="255" t="s">
        <v>233</v>
      </c>
      <c r="J11" s="240"/>
      <c r="K11" s="347"/>
      <c r="L11" s="349" t="s">
        <v>171</v>
      </c>
      <c r="M11" s="349"/>
      <c r="N11" s="349"/>
      <c r="O11" s="349"/>
      <c r="P11" s="348"/>
      <c r="Q11" s="348"/>
      <c r="R11" s="348"/>
    </row>
    <row r="12" spans="1:18" s="15" customFormat="1" ht="15.6" x14ac:dyDescent="0.3">
      <c r="B12" s="424"/>
      <c r="C12" s="257" t="s">
        <v>161</v>
      </c>
      <c r="D12" s="53" t="s">
        <v>128</v>
      </c>
      <c r="E12" s="246">
        <v>0.05</v>
      </c>
      <c r="F12" s="414"/>
      <c r="G12" s="254" t="s">
        <v>228</v>
      </c>
      <c r="H12" s="354">
        <v>260000</v>
      </c>
      <c r="I12" s="235" t="s">
        <v>232</v>
      </c>
      <c r="J12" s="240"/>
    </row>
    <row r="13" spans="1:18" s="15" customFormat="1" ht="15.6" x14ac:dyDescent="0.3">
      <c r="B13" s="424"/>
      <c r="C13" s="257" t="s">
        <v>208</v>
      </c>
      <c r="D13" s="53" t="s">
        <v>185</v>
      </c>
      <c r="E13" s="389">
        <v>5.0000000000000001E-4</v>
      </c>
      <c r="F13" s="414"/>
      <c r="G13" s="254" t="s">
        <v>229</v>
      </c>
      <c r="H13" s="107">
        <v>800</v>
      </c>
      <c r="I13" s="255" t="s">
        <v>233</v>
      </c>
      <c r="J13" s="236"/>
    </row>
    <row r="14" spans="1:18" s="15" customFormat="1" ht="15.6" x14ac:dyDescent="0.3">
      <c r="B14" s="424"/>
      <c r="C14" s="257" t="s">
        <v>151</v>
      </c>
      <c r="D14" s="53" t="s">
        <v>128</v>
      </c>
      <c r="E14" s="246">
        <v>0.05</v>
      </c>
      <c r="F14" s="414"/>
      <c r="G14" s="254" t="s">
        <v>230</v>
      </c>
      <c r="H14" s="354">
        <v>400000</v>
      </c>
      <c r="I14" s="235" t="s">
        <v>232</v>
      </c>
      <c r="J14" s="236"/>
    </row>
    <row r="15" spans="1:18" s="15" customFormat="1" ht="15.6" x14ac:dyDescent="0.3">
      <c r="B15" s="424"/>
      <c r="C15" s="257" t="s">
        <v>206</v>
      </c>
      <c r="D15" s="53" t="s">
        <v>209</v>
      </c>
      <c r="E15" s="246">
        <v>0</v>
      </c>
      <c r="F15" s="414"/>
      <c r="G15" s="254" t="s">
        <v>65</v>
      </c>
      <c r="H15" s="108">
        <f>(LN(H14)-LN(H12))/(LN(H13)-LN(H11))</f>
        <v>0.62148837674626989</v>
      </c>
      <c r="I15" s="255" t="s">
        <v>212</v>
      </c>
      <c r="J15" s="241"/>
      <c r="L15" s="106"/>
    </row>
    <row r="16" spans="1:18" s="15" customFormat="1" ht="15.6" x14ac:dyDescent="0.3">
      <c r="B16" s="424"/>
      <c r="C16" s="82" t="s">
        <v>113</v>
      </c>
      <c r="D16" s="53" t="s">
        <v>63</v>
      </c>
      <c r="E16" s="390">
        <v>10</v>
      </c>
      <c r="F16" s="414"/>
      <c r="G16" s="254" t="s">
        <v>66</v>
      </c>
      <c r="H16" s="109">
        <f>LN((H12))-H15*LN(H11)</f>
        <v>8.7448113342827014</v>
      </c>
      <c r="I16" s="255" t="s">
        <v>213</v>
      </c>
      <c r="J16" s="236"/>
    </row>
    <row r="17" spans="1:14" s="15" customFormat="1" ht="15.6" x14ac:dyDescent="0.3">
      <c r="B17" s="424"/>
      <c r="C17" s="82" t="s">
        <v>114</v>
      </c>
      <c r="D17" s="53" t="s">
        <v>63</v>
      </c>
      <c r="E17" s="390">
        <v>30</v>
      </c>
      <c r="F17" s="40"/>
      <c r="G17" s="238"/>
      <c r="H17" s="237"/>
      <c r="I17" s="430"/>
      <c r="J17" s="430"/>
    </row>
    <row r="18" spans="1:14" s="15" customFormat="1" ht="15.6" x14ac:dyDescent="0.3">
      <c r="B18" s="424"/>
      <c r="C18" s="82" t="s">
        <v>74</v>
      </c>
      <c r="D18" s="53" t="s">
        <v>4</v>
      </c>
      <c r="E18" s="390">
        <v>24</v>
      </c>
    </row>
    <row r="19" spans="1:14" s="15" customFormat="1" ht="18" customHeight="1" x14ac:dyDescent="0.25"/>
    <row r="20" spans="1:14" s="15" customFormat="1" ht="15.6" x14ac:dyDescent="0.3">
      <c r="B20" s="242"/>
      <c r="C20" s="242"/>
      <c r="D20" s="242"/>
      <c r="E20" s="429" t="s">
        <v>64</v>
      </c>
      <c r="F20" s="429"/>
      <c r="G20" s="429"/>
      <c r="H20" s="429"/>
      <c r="I20" s="429"/>
    </row>
    <row r="21" spans="1:14" s="15" customFormat="1" ht="15.6" x14ac:dyDescent="0.3">
      <c r="B21" s="242" t="s">
        <v>2</v>
      </c>
      <c r="C21" s="242" t="s">
        <v>13</v>
      </c>
      <c r="D21" s="242" t="s">
        <v>1</v>
      </c>
      <c r="E21" s="243">
        <f>$E$16</f>
        <v>10</v>
      </c>
      <c r="F21" s="244">
        <f>E21+($E$17-$E$16)/4</f>
        <v>15</v>
      </c>
      <c r="G21" s="244">
        <f>F21+($E$17-$E$16)/4</f>
        <v>20</v>
      </c>
      <c r="H21" s="244">
        <f>G21+($E$17-$E$16)/4</f>
        <v>25</v>
      </c>
      <c r="I21" s="244">
        <f>$E$17</f>
        <v>30</v>
      </c>
    </row>
    <row r="22" spans="1:14" s="15" customFormat="1" ht="15.6" x14ac:dyDescent="0.3">
      <c r="A22" s="21" t="s">
        <v>38</v>
      </c>
      <c r="B22" s="245" t="s">
        <v>72</v>
      </c>
      <c r="C22" s="82" t="s">
        <v>59</v>
      </c>
      <c r="D22" s="234" t="s">
        <v>44</v>
      </c>
      <c r="E22" s="246">
        <v>1</v>
      </c>
      <c r="F22" s="246">
        <v>1</v>
      </c>
      <c r="G22" s="246">
        <v>1</v>
      </c>
      <c r="H22" s="246">
        <v>0.95</v>
      </c>
      <c r="I22" s="246">
        <v>0.9</v>
      </c>
    </row>
    <row r="23" spans="1:14" s="15" customFormat="1" ht="15.9" customHeight="1" x14ac:dyDescent="0.25">
      <c r="A23" s="23"/>
      <c r="B23" s="425" t="s">
        <v>109</v>
      </c>
      <c r="C23" s="256" t="s">
        <v>172</v>
      </c>
      <c r="D23" s="234" t="s">
        <v>44</v>
      </c>
      <c r="E23" s="216">
        <v>0.1</v>
      </c>
      <c r="F23" s="216">
        <v>0.1</v>
      </c>
      <c r="G23" s="216">
        <v>0.1</v>
      </c>
      <c r="H23" s="216">
        <v>0.1</v>
      </c>
      <c r="I23" s="216">
        <v>0.1</v>
      </c>
    </row>
    <row r="24" spans="1:14" s="15" customFormat="1" ht="29.1" customHeight="1" x14ac:dyDescent="0.25">
      <c r="A24" s="23"/>
      <c r="B24" s="425"/>
      <c r="C24" s="173" t="s">
        <v>141</v>
      </c>
      <c r="D24" s="234"/>
      <c r="E24" s="105"/>
      <c r="F24" s="105"/>
      <c r="G24" s="105"/>
      <c r="H24" s="105"/>
      <c r="I24" s="105"/>
    </row>
    <row r="25" spans="1:14" s="15" customFormat="1" ht="29.1" customHeight="1" x14ac:dyDescent="0.25">
      <c r="A25" s="23"/>
      <c r="B25" s="425"/>
      <c r="C25" s="173" t="s">
        <v>142</v>
      </c>
      <c r="D25" s="234"/>
      <c r="E25" s="53"/>
      <c r="F25" s="53"/>
      <c r="G25" s="53"/>
      <c r="H25" s="53"/>
      <c r="I25" s="53"/>
    </row>
    <row r="26" spans="1:14" s="15" customFormat="1" ht="9" customHeight="1" x14ac:dyDescent="0.25">
      <c r="B26" s="20"/>
      <c r="C26" s="20"/>
    </row>
    <row r="27" spans="1:14" s="15" customFormat="1" ht="15.6" x14ac:dyDescent="0.3">
      <c r="B27" s="242"/>
      <c r="C27" s="242"/>
      <c r="D27" s="242"/>
      <c r="E27" s="429" t="s">
        <v>64</v>
      </c>
      <c r="F27" s="429"/>
      <c r="G27" s="429"/>
      <c r="H27" s="429"/>
      <c r="I27" s="429"/>
    </row>
    <row r="28" spans="1:14" s="15" customFormat="1" ht="15.6" x14ac:dyDescent="0.3">
      <c r="A28" s="21" t="s">
        <v>39</v>
      </c>
      <c r="B28" s="242" t="s">
        <v>2</v>
      </c>
      <c r="C28" s="242" t="s">
        <v>13</v>
      </c>
      <c r="D28" s="242" t="s">
        <v>1</v>
      </c>
      <c r="E28" s="243">
        <f>$E$16</f>
        <v>10</v>
      </c>
      <c r="F28" s="244">
        <f>E28+($E$17-$E$16)/4</f>
        <v>15</v>
      </c>
      <c r="G28" s="244">
        <f>F28+($E$17-$E$16)/4</f>
        <v>20</v>
      </c>
      <c r="H28" s="244">
        <f>G28+($E$17-$E$16)/4</f>
        <v>25</v>
      </c>
      <c r="I28" s="244">
        <f>$E$17</f>
        <v>30</v>
      </c>
    </row>
    <row r="29" spans="1:14" s="15" customFormat="1" ht="15.6" x14ac:dyDescent="0.3">
      <c r="A29" s="23"/>
      <c r="B29" s="426" t="s">
        <v>163</v>
      </c>
      <c r="C29" s="257" t="s">
        <v>159</v>
      </c>
      <c r="D29" s="234" t="s">
        <v>157</v>
      </c>
      <c r="E29" s="88">
        <f>$E$10*$E$7-($F28-E28)*$E$11*$E$7</f>
        <v>18.5</v>
      </c>
      <c r="F29" s="88">
        <f t="shared" ref="F29:I29" si="0">$E$10*$E$7-($F28-F28)*$E$11*$E$7</f>
        <v>20</v>
      </c>
      <c r="G29" s="88">
        <f t="shared" si="0"/>
        <v>21.5</v>
      </c>
      <c r="H29" s="88">
        <f t="shared" si="0"/>
        <v>23</v>
      </c>
      <c r="I29" s="88">
        <f t="shared" si="0"/>
        <v>24.5</v>
      </c>
    </row>
    <row r="30" spans="1:14" s="15" customFormat="1" ht="15.6" x14ac:dyDescent="0.3">
      <c r="A30" s="23"/>
      <c r="B30" s="426"/>
      <c r="C30" s="257" t="s">
        <v>160</v>
      </c>
      <c r="D30" s="234" t="s">
        <v>157</v>
      </c>
      <c r="E30" s="88">
        <f>$E$7*$E$12-($F28-E28)*$E$13*$E$7</f>
        <v>4.75</v>
      </c>
      <c r="F30" s="88">
        <f t="shared" ref="F30:I30" si="1">$E$7*$E$12-($F28-F28)*$E$13*$E$7</f>
        <v>5</v>
      </c>
      <c r="G30" s="88">
        <f t="shared" si="1"/>
        <v>5.25</v>
      </c>
      <c r="H30" s="88">
        <f>$E$7*$E$12-($F28-H28)*$E$13*$E$7</f>
        <v>5.5</v>
      </c>
      <c r="I30" s="88">
        <f t="shared" si="1"/>
        <v>5.75</v>
      </c>
      <c r="N30" s="258"/>
    </row>
    <row r="31" spans="1:14" s="15" customFormat="1" ht="15.6" x14ac:dyDescent="0.3">
      <c r="A31" s="23"/>
      <c r="B31" s="426"/>
      <c r="C31" s="257" t="s">
        <v>162</v>
      </c>
      <c r="D31" s="234" t="s">
        <v>157</v>
      </c>
      <c r="E31" s="88">
        <f>$E$7*$E$14</f>
        <v>5</v>
      </c>
      <c r="F31" s="88">
        <f t="shared" ref="F31:I31" si="2">$E$7*$E$14</f>
        <v>5</v>
      </c>
      <c r="G31" s="88">
        <f t="shared" si="2"/>
        <v>5</v>
      </c>
      <c r="H31" s="88">
        <f t="shared" si="2"/>
        <v>5</v>
      </c>
      <c r="I31" s="88">
        <f t="shared" si="2"/>
        <v>5</v>
      </c>
      <c r="N31" s="258"/>
    </row>
    <row r="32" spans="1:14" s="15" customFormat="1" ht="15.6" x14ac:dyDescent="0.3">
      <c r="A32" s="23"/>
      <c r="B32" s="426"/>
      <c r="C32" s="257" t="s">
        <v>206</v>
      </c>
      <c r="D32" s="234" t="s">
        <v>157</v>
      </c>
      <c r="E32" s="88">
        <f>$E15*$E7</f>
        <v>0</v>
      </c>
      <c r="F32" s="88">
        <f>$E15*$E7</f>
        <v>0</v>
      </c>
      <c r="G32" s="88">
        <f>$E15*$E7</f>
        <v>0</v>
      </c>
      <c r="H32" s="88">
        <f>$E15*$E7</f>
        <v>0</v>
      </c>
      <c r="I32" s="88">
        <f>$E15*$E7</f>
        <v>0</v>
      </c>
      <c r="N32" s="258"/>
    </row>
    <row r="33" spans="1:14" s="15" customFormat="1" ht="15.6" x14ac:dyDescent="0.3">
      <c r="A33" s="23"/>
      <c r="B33" s="426"/>
      <c r="C33" s="257" t="s">
        <v>156</v>
      </c>
      <c r="D33" s="234" t="s">
        <v>157</v>
      </c>
      <c r="E33" s="88">
        <f>$E$7-SUM(E29:E32)</f>
        <v>71.75</v>
      </c>
      <c r="F33" s="88">
        <f t="shared" ref="F33:I33" si="3">$E$7-SUM(F29:F31)</f>
        <v>70</v>
      </c>
      <c r="G33" s="88">
        <f t="shared" si="3"/>
        <v>68.25</v>
      </c>
      <c r="H33" s="88">
        <f t="shared" si="3"/>
        <v>66.5</v>
      </c>
      <c r="I33" s="88">
        <f t="shared" si="3"/>
        <v>64.75</v>
      </c>
      <c r="N33" s="258"/>
    </row>
    <row r="34" spans="1:14" s="15" customFormat="1" ht="15.6" x14ac:dyDescent="0.3">
      <c r="A34" s="23"/>
      <c r="B34" s="426" t="s">
        <v>35</v>
      </c>
      <c r="C34" s="257" t="s">
        <v>184</v>
      </c>
      <c r="D34" s="234" t="s">
        <v>214</v>
      </c>
      <c r="E34" s="83">
        <f>E33*E28</f>
        <v>717.5</v>
      </c>
      <c r="F34" s="83">
        <f>F33*F28</f>
        <v>1050</v>
      </c>
      <c r="G34" s="83">
        <f>G33*G28</f>
        <v>1365</v>
      </c>
      <c r="H34" s="83">
        <f>H33*H28</f>
        <v>1662.5</v>
      </c>
      <c r="I34" s="83">
        <f>I33*I28</f>
        <v>1942.5</v>
      </c>
      <c r="N34" s="258"/>
    </row>
    <row r="35" spans="1:14" s="15" customFormat="1" ht="15.6" x14ac:dyDescent="0.3">
      <c r="A35" s="23"/>
      <c r="B35" s="426"/>
      <c r="C35" s="257" t="s">
        <v>169</v>
      </c>
      <c r="D35" s="234" t="s">
        <v>150</v>
      </c>
      <c r="E35" s="83">
        <f>10000/E28</f>
        <v>1000</v>
      </c>
      <c r="F35" s="83">
        <f>10000/F28</f>
        <v>666.66666666666663</v>
      </c>
      <c r="G35" s="83">
        <f>10000/G28</f>
        <v>500</v>
      </c>
      <c r="H35" s="83">
        <f>10000/H28</f>
        <v>400</v>
      </c>
      <c r="I35" s="83">
        <f>10000/I28</f>
        <v>333.33333333333331</v>
      </c>
      <c r="N35" s="258"/>
    </row>
    <row r="36" spans="1:14" s="15" customFormat="1" ht="15.6" x14ac:dyDescent="0.3">
      <c r="A36" s="23"/>
      <c r="B36" s="426"/>
      <c r="C36" s="82" t="s">
        <v>69</v>
      </c>
      <c r="D36" s="53" t="s">
        <v>68</v>
      </c>
      <c r="E36" s="62">
        <f>E35^$H$15*EXP($H$16)</f>
        <v>459503.09189396008</v>
      </c>
      <c r="F36" s="62">
        <f>F35^$H$15*EXP($H$16)</f>
        <v>357149.27038946532</v>
      </c>
      <c r="G36" s="62">
        <f>G35^$H$15*EXP($H$16)</f>
        <v>298677.00973107392</v>
      </c>
      <c r="H36" s="62">
        <f>H35^$H$15*EXP($H$16)</f>
        <v>260000.00000000038</v>
      </c>
      <c r="I36" s="62">
        <f>I35^$H$15*EXP($H$16)</f>
        <v>232147.0257531527</v>
      </c>
      <c r="N36" s="258"/>
    </row>
    <row r="37" spans="1:14" s="15" customFormat="1" ht="15.6" x14ac:dyDescent="0.3">
      <c r="A37" s="23"/>
      <c r="B37" s="426"/>
      <c r="C37" s="82" t="s">
        <v>70</v>
      </c>
      <c r="D37" s="53" t="s">
        <v>68</v>
      </c>
      <c r="E37" s="69">
        <f>E36/(1+'Financial assumptions'!$C$10)</f>
        <v>399567.90599474794</v>
      </c>
      <c r="F37" s="69">
        <f>F36/(1+'Financial assumptions'!$C$10)</f>
        <v>310564.58294736117</v>
      </c>
      <c r="G37" s="69">
        <f>G36/(1+'Financial assumptions'!$C$10)</f>
        <v>259719.13889658605</v>
      </c>
      <c r="H37" s="69">
        <f>H36/(1+'Financial assumptions'!$C$10)</f>
        <v>226086.95652173948</v>
      </c>
      <c r="I37" s="69">
        <f>I36/(1+'Financial assumptions'!$C$10)</f>
        <v>201866.97891578497</v>
      </c>
      <c r="N37" s="258"/>
    </row>
    <row r="38" spans="1:14" s="15" customFormat="1" ht="15.6" x14ac:dyDescent="0.3">
      <c r="A38" s="23"/>
      <c r="B38" s="426"/>
      <c r="C38" s="82" t="s">
        <v>71</v>
      </c>
      <c r="D38" s="53"/>
      <c r="E38" s="247">
        <f>E34*E37</f>
        <v>286689972.55123162</v>
      </c>
      <c r="F38" s="247">
        <f>F34*F37</f>
        <v>326092812.09472924</v>
      </c>
      <c r="G38" s="247">
        <f>G34*G37</f>
        <v>354516624.59383994</v>
      </c>
      <c r="H38" s="247">
        <f>H34*H37</f>
        <v>375869565.21739191</v>
      </c>
      <c r="I38" s="247">
        <f>I34*I37</f>
        <v>392126606.54391229</v>
      </c>
      <c r="N38" s="258"/>
    </row>
    <row r="39" spans="1:14" s="15" customFormat="1" ht="15.6" x14ac:dyDescent="0.3">
      <c r="B39" s="424" t="s">
        <v>34</v>
      </c>
      <c r="C39" s="257" t="s">
        <v>273</v>
      </c>
      <c r="D39" s="248"/>
      <c r="E39" s="84">
        <f>(1+'Financial assumptions'!$C$11)^($E$18/12)*$E$8*$E$9</f>
        <v>66550000.000000007</v>
      </c>
      <c r="F39" s="84">
        <f>(1+'Financial assumptions'!$C$11)^($E$18/12)*$E$8*$E$9</f>
        <v>66550000.000000007</v>
      </c>
      <c r="G39" s="84">
        <f>(1+'Financial assumptions'!$C$11)^($E$18/12)*$E$8*$E$9</f>
        <v>66550000.000000007</v>
      </c>
      <c r="H39" s="84">
        <f>(1+'Financial assumptions'!$C$11)^($E$18/12)*$E$8*$E$9</f>
        <v>66550000.000000007</v>
      </c>
      <c r="I39" s="84">
        <f>(1+'Financial assumptions'!$C$11)^($E$18/12)*$E$8*$E$9</f>
        <v>66550000.000000007</v>
      </c>
      <c r="J39" s="106" t="s">
        <v>181</v>
      </c>
      <c r="N39" s="20"/>
    </row>
    <row r="40" spans="1:14" s="15" customFormat="1" ht="15.6" x14ac:dyDescent="0.3">
      <c r="B40" s="424"/>
      <c r="C40" s="257" t="s">
        <v>203</v>
      </c>
      <c r="D40" s="248"/>
      <c r="E40" s="84">
        <f>'1 Civil works'!K17</f>
        <v>78183345.068652868</v>
      </c>
      <c r="F40" s="84">
        <f>'1 Civil works'!L17</f>
        <v>83697588.916277632</v>
      </c>
      <c r="G40" s="84">
        <f>'1 Civil works'!M17</f>
        <v>89186245.079755396</v>
      </c>
      <c r="H40" s="84">
        <f>'1 Civil works'!N17</f>
        <v>94649313.559086129</v>
      </c>
      <c r="I40" s="84">
        <f>'1 Civil works'!O17</f>
        <v>100086794.35426988</v>
      </c>
    </row>
    <row r="41" spans="1:14" s="15" customFormat="1" ht="15.6" x14ac:dyDescent="0.3">
      <c r="B41" s="424"/>
      <c r="C41" s="257" t="s">
        <v>204</v>
      </c>
      <c r="D41" s="248"/>
      <c r="E41" s="84">
        <f>'2 Fees and charges'!J23</f>
        <v>50712851.448547192</v>
      </c>
      <c r="F41" s="84">
        <f>'2 Fees and charges'!K23</f>
        <v>63886851.284365475</v>
      </c>
      <c r="G41" s="84">
        <f>'2 Fees and charges'!L23</f>
        <v>75564431.468107134</v>
      </c>
      <c r="H41" s="84">
        <f>'2 Fees and charges'!M23</f>
        <v>86104596.688746572</v>
      </c>
      <c r="I41" s="84">
        <f>'2 Fees and charges'!N23</f>
        <v>95688768.713244975</v>
      </c>
    </row>
    <row r="42" spans="1:14" s="15" customFormat="1" ht="15.6" x14ac:dyDescent="0.3">
      <c r="B42" s="424"/>
      <c r="C42" s="82" t="s">
        <v>205</v>
      </c>
      <c r="D42" s="249"/>
      <c r="E42" s="84">
        <f>SUM(E39:E41)*E$23</f>
        <v>19544619.651720006</v>
      </c>
      <c r="F42" s="84">
        <f>SUM(F39:F41)*F$23</f>
        <v>21413444.020064313</v>
      </c>
      <c r="G42" s="84">
        <f>SUM(G39:G41)*G$23</f>
        <v>23130067.654786255</v>
      </c>
      <c r="H42" s="84">
        <f>SUM(H39:H41)*H$23</f>
        <v>24730391.024783272</v>
      </c>
      <c r="I42" s="84">
        <f>SUM(I39:I41)*I$23</f>
        <v>26232556.30675149</v>
      </c>
    </row>
    <row r="43" spans="1:14" s="15" customFormat="1" ht="15.6" x14ac:dyDescent="0.3">
      <c r="B43" s="424"/>
      <c r="C43" s="82" t="s">
        <v>280</v>
      </c>
      <c r="D43" s="250"/>
      <c r="E43" s="84">
        <f>SUM(E39:E42)</f>
        <v>214990816.16892007</v>
      </c>
      <c r="F43" s="84">
        <f>SUM(F39:F42)</f>
        <v>235547884.22070745</v>
      </c>
      <c r="G43" s="84">
        <f>SUM(G39:G42)</f>
        <v>254430744.20264879</v>
      </c>
      <c r="H43" s="84">
        <f>SUM(H39:H42)</f>
        <v>272034301.27261597</v>
      </c>
      <c r="I43" s="84">
        <f>SUM(I39:I42)</f>
        <v>288558119.37426639</v>
      </c>
    </row>
    <row r="44" spans="1:14" s="15" customFormat="1" ht="15.6" x14ac:dyDescent="0.3">
      <c r="B44" s="424"/>
      <c r="C44" s="82" t="s">
        <v>183</v>
      </c>
      <c r="D44" s="250"/>
      <c r="E44" s="84">
        <f>SUM(E40:E42)/E34</f>
        <v>206886.15493926141</v>
      </c>
      <c r="F44" s="84">
        <f>SUM(F40:F42)/F34</f>
        <v>160950.36592448328</v>
      </c>
      <c r="G44" s="84">
        <f>SUM(G40:G42)/G34</f>
        <v>137641.57084443135</v>
      </c>
      <c r="H44" s="84">
        <f>SUM(H40:H42)/H34</f>
        <v>123599.57971285173</v>
      </c>
      <c r="I44" s="84">
        <f>SUM(I40:I42)/I34</f>
        <v>114289.89414376645</v>
      </c>
    </row>
    <row r="45" spans="1:14" s="15" customFormat="1" ht="15.6" x14ac:dyDescent="0.3">
      <c r="B45" s="424"/>
      <c r="C45" s="82" t="s">
        <v>77</v>
      </c>
      <c r="D45" s="250"/>
      <c r="E45" s="84">
        <f>E43/E34</f>
        <v>299638.76817967952</v>
      </c>
      <c r="F45" s="84">
        <f>F43/F34</f>
        <v>224331.31830543565</v>
      </c>
      <c r="G45" s="84">
        <f>G43/G34</f>
        <v>186396.1495990101</v>
      </c>
      <c r="H45" s="84">
        <f>H43/H34</f>
        <v>163629.65490082162</v>
      </c>
      <c r="I45" s="84">
        <f>I43/I34</f>
        <v>148549.86840374075</v>
      </c>
    </row>
    <row r="46" spans="1:14" s="15" customFormat="1" ht="15.6" x14ac:dyDescent="0.3">
      <c r="B46" s="424" t="s">
        <v>37</v>
      </c>
      <c r="C46" s="82" t="s">
        <v>182</v>
      </c>
      <c r="D46" s="250"/>
      <c r="E46" s="84">
        <f>E38-E43</f>
        <v>71699156.382311553</v>
      </c>
      <c r="F46" s="84">
        <f>F38-F43</f>
        <v>90544927.874021798</v>
      </c>
      <c r="G46" s="84">
        <f>G38-G43</f>
        <v>100085880.39119115</v>
      </c>
      <c r="H46" s="84">
        <f>H38-H43</f>
        <v>103835263.94477594</v>
      </c>
      <c r="I46" s="84">
        <f>I38-I43</f>
        <v>103568487.16964591</v>
      </c>
    </row>
    <row r="47" spans="1:14" s="15" customFormat="1" ht="15.6" x14ac:dyDescent="0.3">
      <c r="B47" s="424"/>
      <c r="C47" s="82" t="s">
        <v>176</v>
      </c>
      <c r="D47" s="53"/>
      <c r="E47" s="251">
        <f>E46/E43</f>
        <v>0.33349869385107561</v>
      </c>
      <c r="F47" s="251">
        <f>F46/F43</f>
        <v>0.38440136354263132</v>
      </c>
      <c r="G47" s="251">
        <f>G46/G43</f>
        <v>0.39337180223579754</v>
      </c>
      <c r="H47" s="251">
        <f>H46/H43</f>
        <v>0.38169915874218618</v>
      </c>
      <c r="I47" s="251">
        <f>I46/I43</f>
        <v>0.35891725172811806</v>
      </c>
    </row>
    <row r="48" spans="1:14" ht="15.6" thickBot="1" x14ac:dyDescent="0.3">
      <c r="K48" s="15"/>
      <c r="L48" s="15"/>
    </row>
    <row r="49" spans="3:9" ht="17.399999999999999" x14ac:dyDescent="0.3">
      <c r="C49" s="431" t="s">
        <v>41</v>
      </c>
      <c r="D49" s="432"/>
      <c r="E49" s="122" t="str">
        <f>IF(E47&gt;'Financial assumptions'!$C$8,"Yes", "No")</f>
        <v>Yes</v>
      </c>
      <c r="F49" s="116" t="str">
        <f>IF(F47&gt;'Financial assumptions'!$C$8,"Yes", "No")</f>
        <v>Yes</v>
      </c>
      <c r="G49" s="116" t="str">
        <f>IF(G47&gt;'Financial assumptions'!$C$8,"Yes", "No")</f>
        <v>Yes</v>
      </c>
      <c r="H49" s="116" t="str">
        <f>IF(H47&gt;'Financial assumptions'!$C$8,"Yes", "No")</f>
        <v>Yes</v>
      </c>
      <c r="I49" s="117" t="str">
        <f>IF(I47&gt;'Financial assumptions'!$C$8,"Yes", "No")</f>
        <v>Yes</v>
      </c>
    </row>
    <row r="50" spans="3:9" ht="17.399999999999999" x14ac:dyDescent="0.3">
      <c r="C50" s="433" t="s">
        <v>61</v>
      </c>
      <c r="D50" s="434"/>
      <c r="E50" s="123" t="str">
        <f>IF(E46=MAX($E$46:$I$46),"Yes","No")</f>
        <v>No</v>
      </c>
      <c r="F50" s="118" t="str">
        <f>IF(F46=MAX($E$46:$I$46),"Yes","No")</f>
        <v>No</v>
      </c>
      <c r="G50" s="118" t="str">
        <f>IF(G46=MAX($E$46:$I$46),"Yes","No")</f>
        <v>No</v>
      </c>
      <c r="H50" s="118" t="str">
        <f>IF(H46=MAX($E$46:$I$46),"Yes","No")</f>
        <v>Yes</v>
      </c>
      <c r="I50" s="119" t="str">
        <f>IF(I46=MAX($E$46:$I$46),"Yes","No")</f>
        <v>No</v>
      </c>
    </row>
    <row r="51" spans="3:9" ht="18" thickBot="1" x14ac:dyDescent="0.35">
      <c r="C51" s="427" t="s">
        <v>60</v>
      </c>
      <c r="D51" s="428"/>
      <c r="E51" s="124" t="str">
        <f>IF(E47=MAX($E$47:$I$47),"Yes","No")</f>
        <v>No</v>
      </c>
      <c r="F51" s="120" t="str">
        <f t="shared" ref="F51:I51" si="4">IF(F47=MAX($E$47:$I$47),"Yes","No")</f>
        <v>No</v>
      </c>
      <c r="G51" s="120" t="str">
        <f t="shared" si="4"/>
        <v>Yes</v>
      </c>
      <c r="H51" s="120" t="str">
        <f t="shared" si="4"/>
        <v>No</v>
      </c>
      <c r="I51" s="121" t="str">
        <f t="shared" si="4"/>
        <v>No</v>
      </c>
    </row>
    <row r="52" spans="3:9" ht="6" customHeight="1" x14ac:dyDescent="0.25"/>
  </sheetData>
  <mergeCells count="14">
    <mergeCell ref="C51:D51"/>
    <mergeCell ref="E20:I20"/>
    <mergeCell ref="E27:I27"/>
    <mergeCell ref="I17:J17"/>
    <mergeCell ref="C49:D49"/>
    <mergeCell ref="C50:D50"/>
    <mergeCell ref="F7:F16"/>
    <mergeCell ref="G7:I10"/>
    <mergeCell ref="B46:B47"/>
    <mergeCell ref="B39:B45"/>
    <mergeCell ref="B7:B18"/>
    <mergeCell ref="B23:B25"/>
    <mergeCell ref="B29:B33"/>
    <mergeCell ref="B34:B38"/>
  </mergeCells>
  <phoneticPr fontId="17" type="noConversion"/>
  <conditionalFormatting sqref="E49:I51">
    <cfRule type="containsText" dxfId="3" priority="3" operator="containsText" text="Yes">
      <formula>NOT(ISERROR(SEARCH("Yes",E49)))</formula>
    </cfRule>
  </conditionalFormatting>
  <pageMargins left="0.30629921259842524" right="0.30629921259842524" top="0.55314960629921262" bottom="0.35629921259842523" header="0.30000000000000004" footer="0.30000000000000004"/>
  <pageSetup paperSize="9" scale="63"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theme="4"/>
  </sheetPr>
  <dimension ref="A1:O36"/>
  <sheetViews>
    <sheetView showGridLines="0" workbookViewId="0">
      <selection activeCell="E23" sqref="E23"/>
    </sheetView>
  </sheetViews>
  <sheetFormatPr defaultColWidth="8.88671875" defaultRowHeight="15" x14ac:dyDescent="0.25"/>
  <cols>
    <col min="1" max="1" width="28.109375" style="15" bestFit="1" customWidth="1"/>
    <col min="2" max="2" width="8.33203125" style="20" bestFit="1" customWidth="1"/>
    <col min="3" max="3" width="9.44140625" style="20" bestFit="1" customWidth="1"/>
    <col min="4" max="4" width="22" style="20" bestFit="1" customWidth="1"/>
    <col min="5" max="5" width="10.44140625" style="20" bestFit="1" customWidth="1"/>
    <col min="6" max="6" width="16.109375" style="20" customWidth="1"/>
    <col min="7" max="7" width="16.109375" style="28" customWidth="1"/>
    <col min="8" max="15" width="16.109375" style="15" customWidth="1"/>
    <col min="16" max="16" width="3.44140625" style="15" customWidth="1"/>
    <col min="17" max="16384" width="8.88671875" style="15"/>
  </cols>
  <sheetData>
    <row r="1" spans="1:15" x14ac:dyDescent="0.25">
      <c r="D1" s="28"/>
      <c r="E1" s="15"/>
      <c r="F1" s="15"/>
      <c r="G1" s="15"/>
    </row>
    <row r="2" spans="1:15" ht="17.399999999999999" x14ac:dyDescent="0.3">
      <c r="A2" s="14" t="s">
        <v>136</v>
      </c>
      <c r="D2" s="28"/>
      <c r="E2" s="15"/>
      <c r="F2" s="15"/>
      <c r="G2" s="15"/>
    </row>
    <row r="3" spans="1:15" x14ac:dyDescent="0.25">
      <c r="B3" s="15"/>
      <c r="C3" s="15"/>
      <c r="D3" s="15"/>
      <c r="E3" s="15"/>
      <c r="F3" s="15"/>
      <c r="G3" s="15"/>
    </row>
    <row r="4" spans="1:15" x14ac:dyDescent="0.25">
      <c r="B4" s="15"/>
      <c r="C4" s="15"/>
      <c r="D4" s="15"/>
      <c r="E4" s="15"/>
      <c r="F4" s="27"/>
      <c r="G4" s="15"/>
    </row>
    <row r="5" spans="1:15" ht="15.6" thickBot="1" x14ac:dyDescent="0.3">
      <c r="B5" s="15"/>
      <c r="C5" s="15"/>
      <c r="D5" s="15"/>
      <c r="E5" s="15"/>
      <c r="F5" s="15"/>
      <c r="G5" s="15"/>
    </row>
    <row r="6" spans="1:15" ht="15.6" x14ac:dyDescent="0.25">
      <c r="F6" s="435" t="s">
        <v>149</v>
      </c>
      <c r="G6" s="436"/>
      <c r="H6" s="436"/>
      <c r="I6" s="436"/>
      <c r="J6" s="437"/>
      <c r="K6" s="438" t="s">
        <v>218</v>
      </c>
      <c r="L6" s="436"/>
      <c r="M6" s="436"/>
      <c r="N6" s="436"/>
      <c r="O6" s="437"/>
    </row>
    <row r="7" spans="1:15" ht="16.2" thickBot="1" x14ac:dyDescent="0.35">
      <c r="A7" s="22" t="s">
        <v>13</v>
      </c>
      <c r="B7" s="41" t="s">
        <v>152</v>
      </c>
      <c r="C7" s="22" t="s">
        <v>15</v>
      </c>
      <c r="D7" s="22" t="s">
        <v>1</v>
      </c>
      <c r="E7" s="22" t="s">
        <v>154</v>
      </c>
      <c r="F7" s="91">
        <f>'Key Inputs &amp; Outputs (LD)'!E21</f>
        <v>10</v>
      </c>
      <c r="G7" s="92">
        <f>'Key Inputs &amp; Outputs (LD)'!F21</f>
        <v>15</v>
      </c>
      <c r="H7" s="92">
        <f>'Key Inputs &amp; Outputs (LD)'!G21</f>
        <v>20</v>
      </c>
      <c r="I7" s="92">
        <f>'Key Inputs &amp; Outputs (LD)'!H21</f>
        <v>25</v>
      </c>
      <c r="J7" s="93">
        <f>'Key Inputs &amp; Outputs (LD)'!I21</f>
        <v>30</v>
      </c>
      <c r="K7" s="50">
        <f>F7</f>
        <v>10</v>
      </c>
      <c r="L7" s="48">
        <f>G7</f>
        <v>15</v>
      </c>
      <c r="M7" s="48">
        <f>H7</f>
        <v>20</v>
      </c>
      <c r="N7" s="48">
        <f>I7</f>
        <v>25</v>
      </c>
      <c r="O7" s="49">
        <f>J7</f>
        <v>30</v>
      </c>
    </row>
    <row r="8" spans="1:15" x14ac:dyDescent="0.25">
      <c r="A8" s="262" t="s">
        <v>222</v>
      </c>
      <c r="B8" s="351">
        <v>0.1</v>
      </c>
      <c r="C8" s="359">
        <v>1000</v>
      </c>
      <c r="D8" s="87" t="s">
        <v>283</v>
      </c>
      <c r="E8" s="362"/>
      <c r="F8" s="94">
        <f>'Key Inputs &amp; Outputs (LD)'!E34*'1 Civil works'!$C8</f>
        <v>717500</v>
      </c>
      <c r="G8" s="97">
        <f>'Key Inputs &amp; Outputs (LD)'!F34*'1 Civil works'!$C8</f>
        <v>1050000</v>
      </c>
      <c r="H8" s="97">
        <f>'Key Inputs &amp; Outputs (LD)'!G34*'1 Civil works'!$C8</f>
        <v>1365000</v>
      </c>
      <c r="I8" s="97">
        <f>'Key Inputs &amp; Outputs (LD)'!H34*'1 Civil works'!$C8</f>
        <v>1662500</v>
      </c>
      <c r="J8" s="98">
        <f>'Key Inputs &amp; Outputs (LD)'!I34*'1 Civil works'!$C8</f>
        <v>1942500</v>
      </c>
      <c r="K8" s="73">
        <f>(1+'Financial assumptions'!$C$11)^(('Key Inputs &amp; Outputs (LD)'!$E$18-'1 Civil works'!$B8*'Key Inputs &amp; Outputs (LD)'!$E$18)/12)*F8</f>
        <v>851782.55002714973</v>
      </c>
      <c r="L8" s="74">
        <f>(1+'Financial assumptions'!$C$11)^(('Key Inputs &amp; Outputs (LD)'!$E$18-'1 Civil works'!$B8*'Key Inputs &amp; Outputs (LD)'!$E$18)/12)*G8</f>
        <v>1246511.048820219</v>
      </c>
      <c r="M8" s="74">
        <f>(1+'Financial assumptions'!$C$11)^(('Key Inputs &amp; Outputs (LD)'!$E$18-'1 Civil works'!$B8*'Key Inputs &amp; Outputs (LD)'!$E$18)/12)*H8</f>
        <v>1620464.3634662849</v>
      </c>
      <c r="N8" s="74">
        <f>(1+'Financial assumptions'!$C$11)^(('Key Inputs &amp; Outputs (LD)'!$E$18-'1 Civil works'!$B8*'Key Inputs &amp; Outputs (LD)'!$E$18)/12)*I8</f>
        <v>1973642.4939653468</v>
      </c>
      <c r="O8" s="75">
        <f>(1+'Financial assumptions'!$C$11)^(('Key Inputs &amp; Outputs (LD)'!$E$18-'1 Civil works'!$B8*'Key Inputs &amp; Outputs (LD)'!$E$18)/12)*J8</f>
        <v>2306045.4403174054</v>
      </c>
    </row>
    <row r="9" spans="1:15" x14ac:dyDescent="0.25">
      <c r="A9" s="263" t="s">
        <v>219</v>
      </c>
      <c r="B9" s="231">
        <v>0.1</v>
      </c>
      <c r="C9" s="360">
        <v>5000</v>
      </c>
      <c r="D9" s="264" t="s">
        <v>170</v>
      </c>
      <c r="E9" s="104"/>
      <c r="F9" s="95">
        <f>$C$9*'Key Inputs &amp; Outputs (LD)'!$E$7</f>
        <v>500000</v>
      </c>
      <c r="G9" s="62">
        <f>$C$9*'Key Inputs &amp; Outputs (LD)'!$E$7</f>
        <v>500000</v>
      </c>
      <c r="H9" s="62">
        <f>$C$9*'Key Inputs &amp; Outputs (LD)'!$E$7</f>
        <v>500000</v>
      </c>
      <c r="I9" s="62">
        <f>$C$9*'Key Inputs &amp; Outputs (LD)'!$E$7</f>
        <v>500000</v>
      </c>
      <c r="J9" s="66">
        <f>$C$9*'Key Inputs &amp; Outputs (LD)'!$E$7</f>
        <v>500000</v>
      </c>
      <c r="K9" s="76">
        <f>(1+'Financial assumptions'!$C$11)^(('Key Inputs &amp; Outputs (LD)'!$E$18-'1 Civil works'!$B9*'Key Inputs &amp; Outputs (LD)'!$E$18)/12)*F9</f>
        <v>593576.6899143901</v>
      </c>
      <c r="L9" s="77">
        <f>(1+'Financial assumptions'!$C$11)^(('Key Inputs &amp; Outputs (LD)'!$E$18-'1 Civil works'!$B9*'Key Inputs &amp; Outputs (LD)'!$E$18)/12)*G9</f>
        <v>593576.6899143901</v>
      </c>
      <c r="M9" s="77">
        <f>(1+'Financial assumptions'!$C$11)^(('Key Inputs &amp; Outputs (LD)'!$E$18-'1 Civil works'!$B9*'Key Inputs &amp; Outputs (LD)'!$E$18)/12)*H9</f>
        <v>593576.6899143901</v>
      </c>
      <c r="N9" s="77">
        <f>(1+'Financial assumptions'!$C$11)^(('Key Inputs &amp; Outputs (LD)'!$E$18-'1 Civil works'!$B9*'Key Inputs &amp; Outputs (LD)'!$E$18)/12)*I9</f>
        <v>593576.6899143901</v>
      </c>
      <c r="O9" s="78">
        <f>(1+'Financial assumptions'!$C$11)^(('Key Inputs &amp; Outputs (LD)'!$E$18-'1 Civil works'!$B9*'Key Inputs &amp; Outputs (LD)'!$E$18)/12)*J9</f>
        <v>593576.6899143901</v>
      </c>
    </row>
    <row r="10" spans="1:15" x14ac:dyDescent="0.25">
      <c r="A10" s="60" t="s">
        <v>277</v>
      </c>
      <c r="B10" s="231">
        <v>0.1</v>
      </c>
      <c r="C10" s="361">
        <v>15</v>
      </c>
      <c r="D10" s="265" t="s">
        <v>278</v>
      </c>
      <c r="E10" s="365">
        <v>1000</v>
      </c>
      <c r="F10" s="95">
        <f>$C10*$E10*'Key Inputs &amp; Outputs (LD)'!$E$7</f>
        <v>1500000</v>
      </c>
      <c r="G10" s="62">
        <f>$C10*$E10*'Key Inputs &amp; Outputs (LD)'!$E$7</f>
        <v>1500000</v>
      </c>
      <c r="H10" s="62">
        <f>$C10*$E10*'Key Inputs &amp; Outputs (LD)'!$E$7</f>
        <v>1500000</v>
      </c>
      <c r="I10" s="62">
        <f>$C10*$E10*'Key Inputs &amp; Outputs (LD)'!$E$7</f>
        <v>1500000</v>
      </c>
      <c r="J10" s="66">
        <f>$C10*$E10*'Key Inputs &amp; Outputs (LD)'!$E$7</f>
        <v>1500000</v>
      </c>
      <c r="K10" s="76">
        <f>(1+'Financial assumptions'!$C$11)^(('Key Inputs &amp; Outputs (LD)'!$E$18-'1 Civil works'!$B10*'Key Inputs &amp; Outputs (LD)'!$E$18)/12)*F10</f>
        <v>1780730.0697431702</v>
      </c>
      <c r="L10" s="77">
        <f>(1+'Financial assumptions'!$C$11)^(('Key Inputs &amp; Outputs (LD)'!$E$18-'1 Civil works'!$B10*'Key Inputs &amp; Outputs (LD)'!$E$18)/12)*G10</f>
        <v>1780730.0697431702</v>
      </c>
      <c r="M10" s="77">
        <f>(1+'Financial assumptions'!$C$11)^(('Key Inputs &amp; Outputs (LD)'!$E$18-'1 Civil works'!$B10*'Key Inputs &amp; Outputs (LD)'!$E$18)/12)*H10</f>
        <v>1780730.0697431702</v>
      </c>
      <c r="N10" s="77">
        <f>(1+'Financial assumptions'!$C$11)^(('Key Inputs &amp; Outputs (LD)'!$E$18-'1 Civil works'!$B10*'Key Inputs &amp; Outputs (LD)'!$E$18)/12)*I10</f>
        <v>1780730.0697431702</v>
      </c>
      <c r="O10" s="78">
        <f>(1+'Financial assumptions'!$C$11)^(('Key Inputs &amp; Outputs (LD)'!$E$18-'1 Civil works'!$B10*'Key Inputs &amp; Outputs (LD)'!$E$18)/12)*J10</f>
        <v>1780730.0697431702</v>
      </c>
    </row>
    <row r="11" spans="1:15" x14ac:dyDescent="0.25">
      <c r="A11" s="60" t="s">
        <v>167</v>
      </c>
      <c r="B11" s="231">
        <v>0.25</v>
      </c>
      <c r="C11" s="361">
        <v>225</v>
      </c>
      <c r="D11" s="265" t="s">
        <v>158</v>
      </c>
      <c r="E11" s="103"/>
      <c r="F11" s="95">
        <f>$C11*10000*'Key Inputs &amp; Outputs (LD)'!E29</f>
        <v>41625000</v>
      </c>
      <c r="G11" s="62">
        <f>$C11*10000*'Key Inputs &amp; Outputs (LD)'!F29</f>
        <v>45000000</v>
      </c>
      <c r="H11" s="62">
        <f>$C11*10000*'Key Inputs &amp; Outputs (LD)'!G29</f>
        <v>48375000</v>
      </c>
      <c r="I11" s="62">
        <f>$C11*10000*'Key Inputs &amp; Outputs (LD)'!H29</f>
        <v>51750000</v>
      </c>
      <c r="J11" s="66">
        <f>$C11*10000*'Key Inputs &amp; Outputs (LD)'!I29</f>
        <v>55125000</v>
      </c>
      <c r="K11" s="76">
        <f>(1+'Financial assumptions'!$C$11)^(('Key Inputs &amp; Outputs (LD)'!$E$18-'1 Civil works'!$B11*'Key Inputs &amp; Outputs (LD)'!$E$18)/12)*F11</f>
        <v>48022335.135590822</v>
      </c>
      <c r="L11" s="77">
        <f>(1+'Financial assumptions'!$C$11)^(('Key Inputs &amp; Outputs (LD)'!$E$18-'1 Civil works'!$B11*'Key Inputs &amp; Outputs (LD)'!$E$18)/12)*G11</f>
        <v>51916037.984422512</v>
      </c>
      <c r="M11" s="77">
        <f>(1+'Financial assumptions'!$C$11)^(('Key Inputs &amp; Outputs (LD)'!$E$18-'1 Civil works'!$B11*'Key Inputs &amp; Outputs (LD)'!$E$18)/12)*H11</f>
        <v>55809740.833254203</v>
      </c>
      <c r="N11" s="77">
        <f>(1+'Financial assumptions'!$C$11)^(('Key Inputs &amp; Outputs (LD)'!$E$18-'1 Civil works'!$B11*'Key Inputs &amp; Outputs (LD)'!$E$18)/12)*I11</f>
        <v>59703443.682085887</v>
      </c>
      <c r="O11" s="78">
        <f>(1+'Financial assumptions'!$C$11)^(('Key Inputs &amp; Outputs (LD)'!$E$18-'1 Civil works'!$B11*'Key Inputs &amp; Outputs (LD)'!$E$18)/12)*J11</f>
        <v>63597146.530917577</v>
      </c>
    </row>
    <row r="12" spans="1:15" x14ac:dyDescent="0.25">
      <c r="A12" s="60" t="s">
        <v>165</v>
      </c>
      <c r="B12" s="231">
        <v>0.25</v>
      </c>
      <c r="C12" s="361">
        <v>175</v>
      </c>
      <c r="D12" s="265" t="s">
        <v>153</v>
      </c>
      <c r="E12" s="363">
        <v>125</v>
      </c>
      <c r="F12" s="95">
        <f>$C$12*$E$12*'Key Inputs &amp; Outputs (LD)'!$E$7</f>
        <v>2187500</v>
      </c>
      <c r="G12" s="62">
        <f>$C$12*$E$12*'Key Inputs &amp; Outputs (LD)'!$E$7</f>
        <v>2187500</v>
      </c>
      <c r="H12" s="62">
        <f>$C$12*$E$12*'Key Inputs &amp; Outputs (LD)'!$E$7</f>
        <v>2187500</v>
      </c>
      <c r="I12" s="62">
        <f>$C$12*$E$12*'Key Inputs &amp; Outputs (LD)'!$E$7</f>
        <v>2187500</v>
      </c>
      <c r="J12" s="66">
        <f>$C$12*$E$12*'Key Inputs &amp; Outputs (LD)'!$E$7</f>
        <v>2187500</v>
      </c>
      <c r="K12" s="76">
        <f>(1+'Financial assumptions'!$C$11)^(('Key Inputs &amp; Outputs (LD)'!$E$18-'1 Civil works'!$B12*'Key Inputs &amp; Outputs (LD)'!$E$18)/12)*F12</f>
        <v>2523696.2909094277</v>
      </c>
      <c r="L12" s="77">
        <f>(1+'Financial assumptions'!$C$11)^(('Key Inputs &amp; Outputs (LD)'!$E$18-'1 Civil works'!$B12*'Key Inputs &amp; Outputs (LD)'!$E$18)/12)*G12</f>
        <v>2523696.2909094277</v>
      </c>
      <c r="M12" s="77">
        <f>(1+'Financial assumptions'!$C$11)^(('Key Inputs &amp; Outputs (LD)'!$E$18-'1 Civil works'!$B12*'Key Inputs &amp; Outputs (LD)'!$E$18)/12)*H12</f>
        <v>2523696.2909094277</v>
      </c>
      <c r="N12" s="77">
        <f>(1+'Financial assumptions'!$C$11)^(('Key Inputs &amp; Outputs (LD)'!$E$18-'1 Civil works'!$B12*'Key Inputs &amp; Outputs (LD)'!$E$18)/12)*I12</f>
        <v>2523696.2909094277</v>
      </c>
      <c r="O12" s="78">
        <f>(1+'Financial assumptions'!$C$11)^(('Key Inputs &amp; Outputs (LD)'!$E$18-'1 Civil works'!$B12*'Key Inputs &amp; Outputs (LD)'!$E$18)/12)*J12</f>
        <v>2523696.2909094277</v>
      </c>
    </row>
    <row r="13" spans="1:15" x14ac:dyDescent="0.25">
      <c r="A13" s="60" t="s">
        <v>166</v>
      </c>
      <c r="B13" s="231">
        <v>0.25</v>
      </c>
      <c r="C13" s="361">
        <v>200</v>
      </c>
      <c r="D13" s="265" t="s">
        <v>153</v>
      </c>
      <c r="E13" s="363">
        <v>125</v>
      </c>
      <c r="F13" s="95">
        <f>$C$13*$E$13*'Key Inputs &amp; Outputs (LD)'!$E$7</f>
        <v>2500000</v>
      </c>
      <c r="G13" s="62">
        <f>$C$13*$E$13*'Key Inputs &amp; Outputs (LD)'!$E$7</f>
        <v>2500000</v>
      </c>
      <c r="H13" s="62">
        <f>$C$13*$E$13*'Key Inputs &amp; Outputs (LD)'!$E$7</f>
        <v>2500000</v>
      </c>
      <c r="I13" s="62">
        <f>$C$13*$E$13*'Key Inputs &amp; Outputs (LD)'!$E$7</f>
        <v>2500000</v>
      </c>
      <c r="J13" s="66">
        <f>$C$13*$E$13*'Key Inputs &amp; Outputs (LD)'!$E$7</f>
        <v>2500000</v>
      </c>
      <c r="K13" s="76">
        <f>(1+'Financial assumptions'!$C$11)^(('Key Inputs &amp; Outputs (LD)'!$E$18-'1 Civil works'!$B13*'Key Inputs &amp; Outputs (LD)'!$E$18)/12)*F13</f>
        <v>2884224.3324679174</v>
      </c>
      <c r="L13" s="77">
        <f>(1+'Financial assumptions'!$C$11)^(('Key Inputs &amp; Outputs (LD)'!$E$18-'1 Civil works'!$B13*'Key Inputs &amp; Outputs (LD)'!$E$18)/12)*G13</f>
        <v>2884224.3324679174</v>
      </c>
      <c r="M13" s="77">
        <f>(1+'Financial assumptions'!$C$11)^(('Key Inputs &amp; Outputs (LD)'!$E$18-'1 Civil works'!$B13*'Key Inputs &amp; Outputs (LD)'!$E$18)/12)*H13</f>
        <v>2884224.3324679174</v>
      </c>
      <c r="N13" s="77">
        <f>(1+'Financial assumptions'!$C$11)^(('Key Inputs &amp; Outputs (LD)'!$E$18-'1 Civil works'!$B13*'Key Inputs &amp; Outputs (LD)'!$E$18)/12)*I13</f>
        <v>2884224.3324679174</v>
      </c>
      <c r="O13" s="78">
        <f>(1+'Financial assumptions'!$C$11)^(('Key Inputs &amp; Outputs (LD)'!$E$18-'1 Civil works'!$B13*'Key Inputs &amp; Outputs (LD)'!$E$18)/12)*J13</f>
        <v>2884224.3324679174</v>
      </c>
    </row>
    <row r="14" spans="1:15" x14ac:dyDescent="0.25">
      <c r="A14" s="60" t="s">
        <v>221</v>
      </c>
      <c r="B14" s="231">
        <v>0.5</v>
      </c>
      <c r="C14" s="361">
        <v>60</v>
      </c>
      <c r="D14" s="265" t="s">
        <v>164</v>
      </c>
      <c r="E14" s="364"/>
      <c r="F14" s="95">
        <f>$C$14*('Key Inputs &amp; Outputs (LD)'!E30+'Key Inputs &amp; Outputs (LD)'!E31)*10000</f>
        <v>5850000</v>
      </c>
      <c r="G14" s="62">
        <f>$C$14*('Key Inputs &amp; Outputs (LD)'!F30+'Key Inputs &amp; Outputs (LD)'!F31)*10000</f>
        <v>6000000</v>
      </c>
      <c r="H14" s="62">
        <f>$C$14*('Key Inputs &amp; Outputs (LD)'!G30+'Key Inputs &amp; Outputs (LD)'!G31)*10000</f>
        <v>6150000</v>
      </c>
      <c r="I14" s="62">
        <f>$C$14*('Key Inputs &amp; Outputs (LD)'!H30+'Key Inputs &amp; Outputs (LD)'!H31)*10000</f>
        <v>6300000</v>
      </c>
      <c r="J14" s="66">
        <f>$C$14*('Key Inputs &amp; Outputs (LD)'!I30+'Key Inputs &amp; Outputs (LD)'!I31)*10000</f>
        <v>6450000</v>
      </c>
      <c r="K14" s="76">
        <f>(1+'Financial assumptions'!$C$11)^(('Key Inputs &amp; Outputs (LD)'!$E$18-'1 Civil works'!$B14*'Key Inputs &amp; Outputs (LD)'!$E$18)/12)*F14</f>
        <v>6435000.0000000009</v>
      </c>
      <c r="L14" s="77">
        <f>(1+'Financial assumptions'!$C$11)^(('Key Inputs &amp; Outputs (LD)'!$E$18-'1 Civil works'!$B14*'Key Inputs &amp; Outputs (LD)'!$E$18)/12)*G14</f>
        <v>6600000.0000000009</v>
      </c>
      <c r="M14" s="77">
        <f>(1+'Financial assumptions'!$C$11)^(('Key Inputs &amp; Outputs (LD)'!$E$18-'1 Civil works'!$B14*'Key Inputs &amp; Outputs (LD)'!$E$18)/12)*H14</f>
        <v>6765000.0000000009</v>
      </c>
      <c r="N14" s="77">
        <f>(1+'Financial assumptions'!$C$11)^(('Key Inputs &amp; Outputs (LD)'!$E$18-'1 Civil works'!$B14*'Key Inputs &amp; Outputs (LD)'!$E$18)/12)*I14</f>
        <v>6930000.0000000009</v>
      </c>
      <c r="O14" s="78">
        <f>(1+'Financial assumptions'!$C$11)^(('Key Inputs &amp; Outputs (LD)'!$E$18-'1 Civil works'!$B14*'Key Inputs &amp; Outputs (LD)'!$E$18)/12)*J14</f>
        <v>7095000.0000000009</v>
      </c>
    </row>
    <row r="15" spans="1:15" ht="15.6" thickBot="1" x14ac:dyDescent="0.3">
      <c r="A15" s="61" t="s">
        <v>75</v>
      </c>
      <c r="B15" s="223">
        <v>0.5</v>
      </c>
      <c r="C15" s="224">
        <v>0.25</v>
      </c>
      <c r="D15" s="266" t="s">
        <v>220</v>
      </c>
      <c r="E15" s="209"/>
      <c r="F15" s="96">
        <f>$C$15*SUM(F8:F14)</f>
        <v>13720000</v>
      </c>
      <c r="G15" s="71">
        <f>$C$15*SUM(G8:G14)</f>
        <v>14684375</v>
      </c>
      <c r="H15" s="71">
        <f>$C$15*SUM(H8:H14)</f>
        <v>15644375</v>
      </c>
      <c r="I15" s="71">
        <f>$C$15*SUM(I8:I14)</f>
        <v>16600000</v>
      </c>
      <c r="J15" s="72">
        <f>$C$15*SUM(J8:J14)</f>
        <v>17551250</v>
      </c>
      <c r="K15" s="79">
        <f>(1+'Financial assumptions'!$C$11)^(('Key Inputs &amp; Outputs (LD)'!$E$18-'1 Civil works'!$B15*'Key Inputs &amp; Outputs (LD)'!$E$18)/12)*F15</f>
        <v>15092000.000000002</v>
      </c>
      <c r="L15" s="80">
        <f>(1+'Financial assumptions'!$C$11)^(('Key Inputs &amp; Outputs (LD)'!$E$18-'1 Civil works'!$B15*'Key Inputs &amp; Outputs (LD)'!$E$18)/12)*G15</f>
        <v>16152812.500000002</v>
      </c>
      <c r="M15" s="80">
        <f>(1+'Financial assumptions'!$C$11)^(('Key Inputs &amp; Outputs (LD)'!$E$18-'1 Civil works'!$B15*'Key Inputs &amp; Outputs (LD)'!$E$18)/12)*H15</f>
        <v>17208812.5</v>
      </c>
      <c r="N15" s="80">
        <f>(1+'Financial assumptions'!$C$11)^(('Key Inputs &amp; Outputs (LD)'!$E$18-'1 Civil works'!$B15*'Key Inputs &amp; Outputs (LD)'!$E$18)/12)*I15</f>
        <v>18260000</v>
      </c>
      <c r="O15" s="81">
        <f>(1+'Financial assumptions'!$C$11)^(('Key Inputs &amp; Outputs (LD)'!$E$18-'1 Civil works'!$B15*'Key Inputs &amp; Outputs (LD)'!$E$18)/12)*J15</f>
        <v>19306375</v>
      </c>
    </row>
    <row r="17" spans="1:15" ht="16.2" thickBot="1" x14ac:dyDescent="0.3">
      <c r="A17" s="29" t="s">
        <v>16</v>
      </c>
      <c r="B17" s="29"/>
      <c r="C17" s="29"/>
      <c r="D17" s="29"/>
      <c r="E17" s="29"/>
      <c r="F17" s="30">
        <f>SUM(F8:F15)</f>
        <v>68600000</v>
      </c>
      <c r="G17" s="30">
        <f t="shared" ref="G17:O17" si="0">SUM(G8:G15)</f>
        <v>73421875</v>
      </c>
      <c r="H17" s="30">
        <f t="shared" si="0"/>
        <v>78221875</v>
      </c>
      <c r="I17" s="30">
        <f t="shared" si="0"/>
        <v>83000000</v>
      </c>
      <c r="J17" s="30">
        <f t="shared" si="0"/>
        <v>87756250</v>
      </c>
      <c r="K17" s="30">
        <f t="shared" si="0"/>
        <v>78183345.068652868</v>
      </c>
      <c r="L17" s="30">
        <f t="shared" si="0"/>
        <v>83697588.916277632</v>
      </c>
      <c r="M17" s="30">
        <f t="shared" si="0"/>
        <v>89186245.079755396</v>
      </c>
      <c r="N17" s="30">
        <f t="shared" si="0"/>
        <v>94649313.559086129</v>
      </c>
      <c r="O17" s="30">
        <f t="shared" si="0"/>
        <v>100086794.35426988</v>
      </c>
    </row>
    <row r="18" spans="1:15" ht="15.6" thickTop="1" x14ac:dyDescent="0.25"/>
    <row r="19" spans="1:15" ht="15.6" x14ac:dyDescent="0.3">
      <c r="A19" s="24" t="s">
        <v>223</v>
      </c>
      <c r="B19" s="259"/>
      <c r="C19" s="259"/>
      <c r="D19" s="259"/>
      <c r="E19" s="259"/>
      <c r="F19" s="259"/>
      <c r="G19" s="260"/>
      <c r="H19" s="335" t="s">
        <v>40</v>
      </c>
      <c r="I19" s="335"/>
      <c r="J19" s="10"/>
      <c r="K19" s="10"/>
      <c r="L19" s="10"/>
      <c r="M19" s="10"/>
      <c r="N19" s="10"/>
      <c r="O19" s="10"/>
    </row>
    <row r="20" spans="1:15" ht="17.399999999999999" x14ac:dyDescent="0.3">
      <c r="A20" s="15" t="s">
        <v>224</v>
      </c>
      <c r="B20" s="259"/>
      <c r="C20" s="259"/>
      <c r="D20" s="259"/>
      <c r="E20" s="24"/>
      <c r="F20" s="261"/>
      <c r="G20" s="261"/>
      <c r="H20" s="341"/>
      <c r="I20" s="349" t="s">
        <v>303</v>
      </c>
      <c r="J20" s="349"/>
      <c r="K20" s="349"/>
      <c r="L20" s="349"/>
      <c r="M20" s="349"/>
      <c r="N20" s="348"/>
      <c r="O20" s="348"/>
    </row>
    <row r="21" spans="1:15" ht="17.399999999999999" x14ac:dyDescent="0.3">
      <c r="A21" s="24" t="s">
        <v>216</v>
      </c>
      <c r="E21" s="15"/>
      <c r="F21" s="31"/>
      <c r="G21" s="31"/>
      <c r="H21" s="343"/>
      <c r="I21" s="349" t="s">
        <v>304</v>
      </c>
      <c r="J21" s="349"/>
      <c r="K21" s="349"/>
      <c r="L21" s="349"/>
      <c r="M21" s="349"/>
      <c r="N21" s="348"/>
      <c r="O21" s="348"/>
    </row>
    <row r="22" spans="1:15" ht="17.399999999999999" x14ac:dyDescent="0.3">
      <c r="A22" s="106" t="s">
        <v>217</v>
      </c>
      <c r="E22" s="15"/>
      <c r="F22" s="31"/>
      <c r="G22" s="31"/>
      <c r="H22" s="344"/>
      <c r="I22" s="349" t="s">
        <v>306</v>
      </c>
      <c r="J22" s="349"/>
      <c r="K22" s="349"/>
      <c r="L22" s="349"/>
      <c r="M22" s="349"/>
      <c r="N22" s="348"/>
      <c r="O22" s="348"/>
    </row>
    <row r="23" spans="1:15" ht="17.399999999999999" x14ac:dyDescent="0.3">
      <c r="E23" s="15"/>
      <c r="F23" s="31"/>
      <c r="G23" s="31"/>
      <c r="H23" s="346"/>
      <c r="I23" s="349" t="s">
        <v>305</v>
      </c>
      <c r="J23" s="349"/>
      <c r="K23" s="349"/>
      <c r="L23" s="349"/>
      <c r="M23" s="349"/>
      <c r="N23" s="348"/>
      <c r="O23" s="348"/>
    </row>
    <row r="24" spans="1:15" ht="17.399999999999999" x14ac:dyDescent="0.3">
      <c r="E24" s="15"/>
      <c r="F24" s="31"/>
      <c r="G24" s="31"/>
      <c r="H24" s="347"/>
      <c r="I24" s="349" t="s">
        <v>171</v>
      </c>
      <c r="J24" s="349"/>
      <c r="K24" s="349"/>
      <c r="L24" s="349"/>
      <c r="M24" s="349"/>
      <c r="N24" s="348"/>
      <c r="O24" s="348"/>
    </row>
    <row r="25" spans="1:15" x14ac:dyDescent="0.25">
      <c r="E25" s="15"/>
      <c r="F25" s="31"/>
      <c r="G25" s="31"/>
      <c r="H25" s="31"/>
      <c r="I25" s="31"/>
      <c r="J25" s="31"/>
    </row>
    <row r="26" spans="1:15" x14ac:dyDescent="0.25">
      <c r="E26" s="15"/>
      <c r="F26" s="31"/>
      <c r="G26" s="31"/>
      <c r="H26" s="31"/>
      <c r="I26" s="31"/>
      <c r="J26" s="31"/>
    </row>
    <row r="27" spans="1:15" ht="15.6" x14ac:dyDescent="0.3">
      <c r="E27"/>
      <c r="F27" s="31"/>
      <c r="G27" s="31"/>
      <c r="H27" s="31"/>
      <c r="I27" s="31"/>
      <c r="J27" s="31"/>
    </row>
    <row r="28" spans="1:15" x14ac:dyDescent="0.25">
      <c r="F28" s="31"/>
      <c r="G28" s="31"/>
      <c r="H28" s="31"/>
      <c r="I28" s="31"/>
      <c r="J28" s="31"/>
    </row>
    <row r="29" spans="1:15" x14ac:dyDescent="0.25">
      <c r="H29" s="31"/>
      <c r="I29" s="31"/>
      <c r="J29" s="31"/>
    </row>
    <row r="36" spans="1:1" x14ac:dyDescent="0.25">
      <c r="A36" s="20"/>
    </row>
  </sheetData>
  <mergeCells count="2">
    <mergeCell ref="F6:J6"/>
    <mergeCell ref="K6:O6"/>
  </mergeCell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theme="4"/>
  </sheetPr>
  <dimension ref="A1:N30"/>
  <sheetViews>
    <sheetView showGridLines="0" workbookViewId="0">
      <selection activeCell="B8" sqref="B8:C21"/>
    </sheetView>
  </sheetViews>
  <sheetFormatPr defaultColWidth="8.88671875" defaultRowHeight="15" x14ac:dyDescent="0.25"/>
  <cols>
    <col min="1" max="1" width="40.33203125" style="15" bestFit="1" customWidth="1"/>
    <col min="2" max="2" width="8.33203125" style="15" bestFit="1" customWidth="1"/>
    <col min="3" max="3" width="9.6640625" style="15" bestFit="1" customWidth="1"/>
    <col min="4" max="4" width="15.109375" style="15" bestFit="1" customWidth="1"/>
    <col min="5" max="7" width="12.88671875" style="15" customWidth="1"/>
    <col min="8" max="9" width="13.88671875" style="15" customWidth="1"/>
    <col min="10" max="12" width="12.109375" style="15" bestFit="1" customWidth="1"/>
    <col min="13" max="14" width="13.33203125" style="15" bestFit="1" customWidth="1"/>
    <col min="15" max="16384" width="8.88671875" style="15"/>
  </cols>
  <sheetData>
    <row r="1" spans="1:14" x14ac:dyDescent="0.25">
      <c r="B1" s="20"/>
      <c r="C1" s="20"/>
      <c r="D1" s="28"/>
    </row>
    <row r="2" spans="1:14" ht="17.399999999999999" x14ac:dyDescent="0.3">
      <c r="A2" s="14" t="s">
        <v>137</v>
      </c>
      <c r="B2" s="20"/>
      <c r="C2" s="20"/>
      <c r="D2" s="28"/>
    </row>
    <row r="5" spans="1:14" ht="15.6" thickBot="1" x14ac:dyDescent="0.3"/>
    <row r="6" spans="1:14" ht="15.6" x14ac:dyDescent="0.25">
      <c r="E6" s="435" t="s">
        <v>149</v>
      </c>
      <c r="F6" s="436"/>
      <c r="G6" s="436"/>
      <c r="H6" s="436"/>
      <c r="I6" s="437"/>
      <c r="J6" s="438" t="s">
        <v>218</v>
      </c>
      <c r="K6" s="436"/>
      <c r="L6" s="436"/>
      <c r="M6" s="436"/>
      <c r="N6" s="437"/>
    </row>
    <row r="7" spans="1:14" ht="16.2" thickBot="1" x14ac:dyDescent="0.35">
      <c r="A7" s="22" t="s">
        <v>13</v>
      </c>
      <c r="B7" s="22" t="s">
        <v>152</v>
      </c>
      <c r="C7" s="22" t="s">
        <v>15</v>
      </c>
      <c r="D7" s="22" t="s">
        <v>1</v>
      </c>
      <c r="E7" s="42">
        <f>'Key Inputs &amp; Outputs (LD)'!E21</f>
        <v>10</v>
      </c>
      <c r="F7" s="42">
        <f>'Key Inputs &amp; Outputs (LD)'!F21</f>
        <v>15</v>
      </c>
      <c r="G7" s="42">
        <f>'Key Inputs &amp; Outputs (LD)'!G21</f>
        <v>20</v>
      </c>
      <c r="H7" s="42">
        <f>'Key Inputs &amp; Outputs (LD)'!H21</f>
        <v>25</v>
      </c>
      <c r="I7" s="42">
        <f>'Key Inputs &amp; Outputs (LD)'!I21</f>
        <v>30</v>
      </c>
      <c r="J7" s="42">
        <f>E7</f>
        <v>10</v>
      </c>
      <c r="K7" s="42">
        <f>F7</f>
        <v>15</v>
      </c>
      <c r="L7" s="42">
        <f>G7</f>
        <v>20</v>
      </c>
      <c r="M7" s="42">
        <f>H7</f>
        <v>25</v>
      </c>
      <c r="N7" s="42">
        <f>I7</f>
        <v>30</v>
      </c>
    </row>
    <row r="8" spans="1:14" x14ac:dyDescent="0.25">
      <c r="A8" s="178" t="s">
        <v>28</v>
      </c>
      <c r="B8" s="352">
        <v>0.1</v>
      </c>
      <c r="C8" s="355">
        <v>1000</v>
      </c>
      <c r="D8" s="179" t="s">
        <v>9</v>
      </c>
      <c r="E8" s="203">
        <f>$C8*'Key Inputs &amp; Outputs (LD)'!E$34</f>
        <v>717500</v>
      </c>
      <c r="F8" s="63">
        <f>$C8*'Key Inputs &amp; Outputs (LD)'!F$34</f>
        <v>1050000</v>
      </c>
      <c r="G8" s="63">
        <f>$C8*'Key Inputs &amp; Outputs (LD)'!G$34</f>
        <v>1365000</v>
      </c>
      <c r="H8" s="63">
        <f>$C8*'Key Inputs &amp; Outputs (LD)'!H$34</f>
        <v>1662500</v>
      </c>
      <c r="I8" s="65">
        <f>$C8*'Key Inputs &amp; Outputs (LD)'!I$34</f>
        <v>1942500</v>
      </c>
      <c r="J8" s="180">
        <f>(1+'Financial assumptions'!$C$11)^(('Key Inputs &amp; Outputs (LD)'!$E$18-$B8*'Key Inputs &amp; Outputs (LD)'!$E$18)/12)*E8</f>
        <v>851782.55002714973</v>
      </c>
      <c r="K8" s="181">
        <f>(1+'Financial assumptions'!$C$11)^(('Key Inputs &amp; Outputs (LD)'!$E$18-$B8*'Key Inputs &amp; Outputs (LD)'!$E$18)/12)*F8</f>
        <v>1246511.048820219</v>
      </c>
      <c r="L8" s="181">
        <f>(1+'Financial assumptions'!$C$11)^(('Key Inputs &amp; Outputs (LD)'!$E$18-$B8*'Key Inputs &amp; Outputs (LD)'!$E$18)/12)*G8</f>
        <v>1620464.3634662849</v>
      </c>
      <c r="M8" s="181">
        <f>(1+'Financial assumptions'!$C$11)^(('Key Inputs &amp; Outputs (LD)'!$E$18-$B8*'Key Inputs &amp; Outputs (LD)'!$E$18)/12)*H8</f>
        <v>1973642.4939653468</v>
      </c>
      <c r="N8" s="182">
        <f>(1+'Financial assumptions'!$C$11)^(('Key Inputs &amp; Outputs (LD)'!$E$18-$B8*'Key Inputs &amp; Outputs (LD)'!$E$18)/12)*I8</f>
        <v>2306045.4403174054</v>
      </c>
    </row>
    <row r="9" spans="1:14" x14ac:dyDescent="0.25">
      <c r="A9" s="56" t="s">
        <v>316</v>
      </c>
      <c r="B9" s="217">
        <v>0.1</v>
      </c>
      <c r="C9" s="356">
        <v>15000</v>
      </c>
      <c r="D9" s="57" t="s">
        <v>9</v>
      </c>
      <c r="E9" s="95">
        <f>$C9*'Key Inputs &amp; Outputs (LD)'!E$34</f>
        <v>10762500</v>
      </c>
      <c r="F9" s="62">
        <f>$C9*'Key Inputs &amp; Outputs (LD)'!F$34</f>
        <v>15750000</v>
      </c>
      <c r="G9" s="62">
        <f>$C9*'Key Inputs &amp; Outputs (LD)'!G$34</f>
        <v>20475000</v>
      </c>
      <c r="H9" s="62">
        <f>$C9*'Key Inputs &amp; Outputs (LD)'!H$34</f>
        <v>24937500</v>
      </c>
      <c r="I9" s="66">
        <f>$C9*'Key Inputs &amp; Outputs (LD)'!I$34</f>
        <v>29137500</v>
      </c>
      <c r="J9" s="51">
        <f>(1+'Financial assumptions'!$C$11)^(('Key Inputs &amp; Outputs (LD)'!$E$18-$B9*'Key Inputs &amp; Outputs (LD)'!$E$18)/12)*E9</f>
        <v>12776738.250407245</v>
      </c>
      <c r="K9" s="44">
        <f>(1+'Financial assumptions'!$C$11)^(('Key Inputs &amp; Outputs (LD)'!$E$18-$B9*'Key Inputs &amp; Outputs (LD)'!$E$18)/12)*F9</f>
        <v>18697665.732303288</v>
      </c>
      <c r="L9" s="44">
        <f>(1+'Financial assumptions'!$C$11)^(('Key Inputs &amp; Outputs (LD)'!$E$18-$B9*'Key Inputs &amp; Outputs (LD)'!$E$18)/12)*G9</f>
        <v>24306965.451994274</v>
      </c>
      <c r="M9" s="44">
        <f>(1+'Financial assumptions'!$C$11)^(('Key Inputs &amp; Outputs (LD)'!$E$18-$B9*'Key Inputs &amp; Outputs (LD)'!$E$18)/12)*H9</f>
        <v>29604637.409480203</v>
      </c>
      <c r="N9" s="45">
        <f>(1+'Financial assumptions'!$C$11)^(('Key Inputs &amp; Outputs (LD)'!$E$18-$B9*'Key Inputs &amp; Outputs (LD)'!$E$18)/12)*I9</f>
        <v>34590681.604761079</v>
      </c>
    </row>
    <row r="10" spans="1:14" x14ac:dyDescent="0.25">
      <c r="A10" s="56" t="s">
        <v>30</v>
      </c>
      <c r="B10" s="217">
        <v>0.5</v>
      </c>
      <c r="C10" s="217">
        <v>0.02</v>
      </c>
      <c r="D10" s="57" t="s">
        <v>33</v>
      </c>
      <c r="E10" s="95">
        <f>$C$10*'Key Inputs &amp; Outputs (LD)'!E$36*'Key Inputs &amp; Outputs (LD)'!E$34</f>
        <v>6593869.3686783276</v>
      </c>
      <c r="F10" s="62">
        <f>$C$10*'Key Inputs &amp; Outputs (LD)'!F$36*'Key Inputs &amp; Outputs (LD)'!F$34</f>
        <v>7500134.6781787723</v>
      </c>
      <c r="G10" s="62">
        <f>$C$10*'Key Inputs &amp; Outputs (LD)'!G$36*'Key Inputs &amp; Outputs (LD)'!G$34</f>
        <v>8153882.3656583186</v>
      </c>
      <c r="H10" s="62">
        <f>$C$10*'Key Inputs &amp; Outputs (LD)'!H$36*'Key Inputs &amp; Outputs (LD)'!H$34</f>
        <v>8645000.0000000112</v>
      </c>
      <c r="I10" s="66">
        <f>$C$10*'Key Inputs &amp; Outputs (LD)'!I$36*'Key Inputs &amp; Outputs (LD)'!I$34</f>
        <v>9018911.950509984</v>
      </c>
      <c r="J10" s="51">
        <f>(1+'Financial assumptions'!$C$11)^(('Key Inputs &amp; Outputs (LD)'!$E$18-$B10*'Key Inputs &amp; Outputs (LD)'!$E$18)/12)*E10</f>
        <v>7253256.3055461608</v>
      </c>
      <c r="K10" s="44">
        <f>(1+'Financial assumptions'!$C$11)^(('Key Inputs &amp; Outputs (LD)'!$E$18-$B10*'Key Inputs &amp; Outputs (LD)'!$E$18)/12)*F10</f>
        <v>8250148.1459966507</v>
      </c>
      <c r="L10" s="44">
        <f>(1+'Financial assumptions'!$C$11)^(('Key Inputs &amp; Outputs (LD)'!$E$18-$B10*'Key Inputs &amp; Outputs (LD)'!$E$18)/12)*G10</f>
        <v>8969270.6022241507</v>
      </c>
      <c r="M10" s="44">
        <f>(1+'Financial assumptions'!$C$11)^(('Key Inputs &amp; Outputs (LD)'!$E$18-$B10*'Key Inputs &amp; Outputs (LD)'!$E$18)/12)*H10</f>
        <v>9509500.000000013</v>
      </c>
      <c r="N10" s="45">
        <f>(1+'Financial assumptions'!$C$11)^(('Key Inputs &amp; Outputs (LD)'!$E$18-$B10*'Key Inputs &amp; Outputs (LD)'!$E$18)/12)*I10</f>
        <v>9920803.1455609836</v>
      </c>
    </row>
    <row r="11" spans="1:14" x14ac:dyDescent="0.25">
      <c r="A11" s="56" t="s">
        <v>20</v>
      </c>
      <c r="B11" s="217">
        <v>0.5</v>
      </c>
      <c r="C11" s="357">
        <v>1000</v>
      </c>
      <c r="D11" s="57" t="s">
        <v>9</v>
      </c>
      <c r="E11" s="95">
        <f>$C11*'Key Inputs &amp; Outputs (LD)'!E$34</f>
        <v>717500</v>
      </c>
      <c r="F11" s="62">
        <f>$C11*'Key Inputs &amp; Outputs (LD)'!F$34</f>
        <v>1050000</v>
      </c>
      <c r="G11" s="62">
        <f>$C11*'Key Inputs &amp; Outputs (LD)'!G$34</f>
        <v>1365000</v>
      </c>
      <c r="H11" s="62">
        <f>$C11*'Key Inputs &amp; Outputs (LD)'!H$34</f>
        <v>1662500</v>
      </c>
      <c r="I11" s="66">
        <f>$C11*'Key Inputs &amp; Outputs (LD)'!I$34</f>
        <v>1942500</v>
      </c>
      <c r="J11" s="51">
        <f>(1+'Financial assumptions'!$C$11)^(('Key Inputs &amp; Outputs (LD)'!$E$18-$B11*'Key Inputs &amp; Outputs (LD)'!$E$18)/12)*E11</f>
        <v>789250.00000000012</v>
      </c>
      <c r="K11" s="44">
        <f>(1+'Financial assumptions'!$C$11)^(('Key Inputs &amp; Outputs (LD)'!$E$18-$B11*'Key Inputs &amp; Outputs (LD)'!$E$18)/12)*F11</f>
        <v>1155000</v>
      </c>
      <c r="L11" s="44">
        <f>(1+'Financial assumptions'!$C$11)^(('Key Inputs &amp; Outputs (LD)'!$E$18-$B11*'Key Inputs &amp; Outputs (LD)'!$E$18)/12)*G11</f>
        <v>1501500.0000000002</v>
      </c>
      <c r="M11" s="44">
        <f>(1+'Financial assumptions'!$C$11)^(('Key Inputs &amp; Outputs (LD)'!$E$18-$B11*'Key Inputs &amp; Outputs (LD)'!$E$18)/12)*H11</f>
        <v>1828750.0000000002</v>
      </c>
      <c r="N11" s="45">
        <f>(1+'Financial assumptions'!$C$11)^(('Key Inputs &amp; Outputs (LD)'!$E$18-$B11*'Key Inputs &amp; Outputs (LD)'!$E$18)/12)*I11</f>
        <v>2136750</v>
      </c>
    </row>
    <row r="12" spans="1:14" x14ac:dyDescent="0.25">
      <c r="A12" s="56" t="s">
        <v>21</v>
      </c>
      <c r="B12" s="217">
        <v>0.5</v>
      </c>
      <c r="C12" s="358">
        <v>1000</v>
      </c>
      <c r="D12" s="57" t="s">
        <v>9</v>
      </c>
      <c r="E12" s="95">
        <f>$C12*'Key Inputs &amp; Outputs (LD)'!E$34</f>
        <v>717500</v>
      </c>
      <c r="F12" s="62">
        <f>$C12*'Key Inputs &amp; Outputs (LD)'!F$34</f>
        <v>1050000</v>
      </c>
      <c r="G12" s="62">
        <f>$C12*'Key Inputs &amp; Outputs (LD)'!G$34</f>
        <v>1365000</v>
      </c>
      <c r="H12" s="62">
        <f>$C12*'Key Inputs &amp; Outputs (LD)'!H$34</f>
        <v>1662500</v>
      </c>
      <c r="I12" s="66">
        <f>$C12*'Key Inputs &amp; Outputs (LD)'!I$34</f>
        <v>1942500</v>
      </c>
      <c r="J12" s="51">
        <f>(1+'Financial assumptions'!$C$11)^(('Key Inputs &amp; Outputs (LD)'!$E$18-$B12*'Key Inputs &amp; Outputs (LD)'!$E$18)/12)*E12</f>
        <v>789250.00000000012</v>
      </c>
      <c r="K12" s="44">
        <f>(1+'Financial assumptions'!$C$11)^(('Key Inputs &amp; Outputs (LD)'!$E$18-$B12*'Key Inputs &amp; Outputs (LD)'!$E$18)/12)*F12</f>
        <v>1155000</v>
      </c>
      <c r="L12" s="44">
        <f>(1+'Financial assumptions'!$C$11)^(('Key Inputs &amp; Outputs (LD)'!$E$18-$B12*'Key Inputs &amp; Outputs (LD)'!$E$18)/12)*G12</f>
        <v>1501500.0000000002</v>
      </c>
      <c r="M12" s="44">
        <f>(1+'Financial assumptions'!$C$11)^(('Key Inputs &amp; Outputs (LD)'!$E$18-$B12*'Key Inputs &amp; Outputs (LD)'!$E$18)/12)*H12</f>
        <v>1828750.0000000002</v>
      </c>
      <c r="N12" s="45">
        <f>(1+'Financial assumptions'!$C$11)^(('Key Inputs &amp; Outputs (LD)'!$E$18-$B12*'Key Inputs &amp; Outputs (LD)'!$E$18)/12)*I12</f>
        <v>2136750</v>
      </c>
    </row>
    <row r="13" spans="1:14" x14ac:dyDescent="0.25">
      <c r="A13" s="56" t="s">
        <v>22</v>
      </c>
      <c r="B13" s="217">
        <v>0.5</v>
      </c>
      <c r="C13" s="358">
        <v>1000</v>
      </c>
      <c r="D13" s="57" t="s">
        <v>9</v>
      </c>
      <c r="E13" s="95">
        <f>$C13*'Key Inputs &amp; Outputs (LD)'!E$34</f>
        <v>717500</v>
      </c>
      <c r="F13" s="62">
        <f>$C13*'Key Inputs &amp; Outputs (LD)'!F$34</f>
        <v>1050000</v>
      </c>
      <c r="G13" s="62">
        <f>$C13*'Key Inputs &amp; Outputs (LD)'!G$34</f>
        <v>1365000</v>
      </c>
      <c r="H13" s="62">
        <f>$C13*'Key Inputs &amp; Outputs (LD)'!H$34</f>
        <v>1662500</v>
      </c>
      <c r="I13" s="66">
        <f>$C13*'Key Inputs &amp; Outputs (LD)'!I$34</f>
        <v>1942500</v>
      </c>
      <c r="J13" s="51">
        <f>(1+'Financial assumptions'!$C$11)^(('Key Inputs &amp; Outputs (LD)'!$E$18-$B13*'Key Inputs &amp; Outputs (LD)'!$E$18)/12)*E13</f>
        <v>789250.00000000012</v>
      </c>
      <c r="K13" s="44">
        <f>(1+'Financial assumptions'!$C$11)^(('Key Inputs &amp; Outputs (LD)'!$E$18-$B13*'Key Inputs &amp; Outputs (LD)'!$E$18)/12)*F13</f>
        <v>1155000</v>
      </c>
      <c r="L13" s="44">
        <f>(1+'Financial assumptions'!$C$11)^(('Key Inputs &amp; Outputs (LD)'!$E$18-$B13*'Key Inputs &amp; Outputs (LD)'!$E$18)/12)*G13</f>
        <v>1501500.0000000002</v>
      </c>
      <c r="M13" s="44">
        <f>(1+'Financial assumptions'!$C$11)^(('Key Inputs &amp; Outputs (LD)'!$E$18-$B13*'Key Inputs &amp; Outputs (LD)'!$E$18)/12)*H13</f>
        <v>1828750.0000000002</v>
      </c>
      <c r="N13" s="45">
        <f>(1+'Financial assumptions'!$C$11)^(('Key Inputs &amp; Outputs (LD)'!$E$18-$B13*'Key Inputs &amp; Outputs (LD)'!$E$18)/12)*I13</f>
        <v>2136750</v>
      </c>
    </row>
    <row r="14" spans="1:14" x14ac:dyDescent="0.25">
      <c r="A14" s="56" t="s">
        <v>23</v>
      </c>
      <c r="B14" s="217">
        <v>0.5</v>
      </c>
      <c r="C14" s="358">
        <v>1000</v>
      </c>
      <c r="D14" s="57" t="s">
        <v>9</v>
      </c>
      <c r="E14" s="95">
        <f>$C14*'Key Inputs &amp; Outputs (LD)'!E$34</f>
        <v>717500</v>
      </c>
      <c r="F14" s="62">
        <f>$C14*'Key Inputs &amp; Outputs (LD)'!F$34</f>
        <v>1050000</v>
      </c>
      <c r="G14" s="62">
        <f>$C14*'Key Inputs &amp; Outputs (LD)'!G$34</f>
        <v>1365000</v>
      </c>
      <c r="H14" s="62">
        <f>$C14*'Key Inputs &amp; Outputs (LD)'!H$34</f>
        <v>1662500</v>
      </c>
      <c r="I14" s="66">
        <f>$C14*'Key Inputs &amp; Outputs (LD)'!I$34</f>
        <v>1942500</v>
      </c>
      <c r="J14" s="51">
        <f>(1+'Financial assumptions'!$C$11)^(('Key Inputs &amp; Outputs (LD)'!$E$18-$B14*'Key Inputs &amp; Outputs (LD)'!$E$18)/12)*E14</f>
        <v>789250.00000000012</v>
      </c>
      <c r="K14" s="44">
        <f>(1+'Financial assumptions'!$C$11)^(('Key Inputs &amp; Outputs (LD)'!$E$18-$B14*'Key Inputs &amp; Outputs (LD)'!$E$18)/12)*F14</f>
        <v>1155000</v>
      </c>
      <c r="L14" s="44">
        <f>(1+'Financial assumptions'!$C$11)^(('Key Inputs &amp; Outputs (LD)'!$E$18-$B14*'Key Inputs &amp; Outputs (LD)'!$E$18)/12)*G14</f>
        <v>1501500.0000000002</v>
      </c>
      <c r="M14" s="44">
        <f>(1+'Financial assumptions'!$C$11)^(('Key Inputs &amp; Outputs (LD)'!$E$18-$B14*'Key Inputs &amp; Outputs (LD)'!$E$18)/12)*H14</f>
        <v>1828750.0000000002</v>
      </c>
      <c r="N14" s="45">
        <f>(1+'Financial assumptions'!$C$11)^(('Key Inputs &amp; Outputs (LD)'!$E$18-$B14*'Key Inputs &amp; Outputs (LD)'!$E$18)/12)*I14</f>
        <v>2136750</v>
      </c>
    </row>
    <row r="15" spans="1:14" x14ac:dyDescent="0.25">
      <c r="A15" s="56" t="s">
        <v>24</v>
      </c>
      <c r="B15" s="217">
        <v>0.5</v>
      </c>
      <c r="C15" s="358">
        <v>1000</v>
      </c>
      <c r="D15" s="57" t="s">
        <v>9</v>
      </c>
      <c r="E15" s="95">
        <f>$C15*'Key Inputs &amp; Outputs (LD)'!E$34</f>
        <v>717500</v>
      </c>
      <c r="F15" s="62">
        <f>$C15*'Key Inputs &amp; Outputs (LD)'!F$34</f>
        <v>1050000</v>
      </c>
      <c r="G15" s="62">
        <f>$C15*'Key Inputs &amp; Outputs (LD)'!G$34</f>
        <v>1365000</v>
      </c>
      <c r="H15" s="62">
        <f>$C15*'Key Inputs &amp; Outputs (LD)'!H$34</f>
        <v>1662500</v>
      </c>
      <c r="I15" s="66">
        <f>$C15*'Key Inputs &amp; Outputs (LD)'!I$34</f>
        <v>1942500</v>
      </c>
      <c r="J15" s="51">
        <f>(1+'Financial assumptions'!$C$11)^(('Key Inputs &amp; Outputs (LD)'!$E$18-$B15*'Key Inputs &amp; Outputs (LD)'!$E$18)/12)*E15</f>
        <v>789250.00000000012</v>
      </c>
      <c r="K15" s="44">
        <f>(1+'Financial assumptions'!$C$11)^(('Key Inputs &amp; Outputs (LD)'!$E$18-$B15*'Key Inputs &amp; Outputs (LD)'!$E$18)/12)*F15</f>
        <v>1155000</v>
      </c>
      <c r="L15" s="44">
        <f>(1+'Financial assumptions'!$C$11)^(('Key Inputs &amp; Outputs (LD)'!$E$18-$B15*'Key Inputs &amp; Outputs (LD)'!$E$18)/12)*G15</f>
        <v>1501500.0000000002</v>
      </c>
      <c r="M15" s="44">
        <f>(1+'Financial assumptions'!$C$11)^(('Key Inputs &amp; Outputs (LD)'!$E$18-$B15*'Key Inputs &amp; Outputs (LD)'!$E$18)/12)*H15</f>
        <v>1828750.0000000002</v>
      </c>
      <c r="N15" s="45">
        <f>(1+'Financial assumptions'!$C$11)^(('Key Inputs &amp; Outputs (LD)'!$E$18-$B15*'Key Inputs &amp; Outputs (LD)'!$E$18)/12)*I15</f>
        <v>2136750</v>
      </c>
    </row>
    <row r="16" spans="1:14" x14ac:dyDescent="0.25">
      <c r="A16" s="56" t="s">
        <v>25</v>
      </c>
      <c r="B16" s="217">
        <v>0.5</v>
      </c>
      <c r="C16" s="358">
        <v>0</v>
      </c>
      <c r="D16" s="57" t="s">
        <v>9</v>
      </c>
      <c r="E16" s="95">
        <f>$C16*'Key Inputs &amp; Outputs (LD)'!E$34</f>
        <v>0</v>
      </c>
      <c r="F16" s="62">
        <f>$C16*'Key Inputs &amp; Outputs (LD)'!F$34</f>
        <v>0</v>
      </c>
      <c r="G16" s="62">
        <f>$C16*'Key Inputs &amp; Outputs (LD)'!G$34</f>
        <v>0</v>
      </c>
      <c r="H16" s="62">
        <f>$C16*'Key Inputs &amp; Outputs (LD)'!H$34</f>
        <v>0</v>
      </c>
      <c r="I16" s="66">
        <f>$C16*'Key Inputs &amp; Outputs (LD)'!I$34</f>
        <v>0</v>
      </c>
      <c r="J16" s="51">
        <f>(1+'Financial assumptions'!$C$11)^(('Key Inputs &amp; Outputs (LD)'!$E$18-$B16*'Key Inputs &amp; Outputs (LD)'!$E$18)/12)*E16</f>
        <v>0</v>
      </c>
      <c r="K16" s="44">
        <f>(1+'Financial assumptions'!$C$11)^(('Key Inputs &amp; Outputs (LD)'!$E$18-$B16*'Key Inputs &amp; Outputs (LD)'!$E$18)/12)*F16</f>
        <v>0</v>
      </c>
      <c r="L16" s="44">
        <f>(1+'Financial assumptions'!$C$11)^(('Key Inputs &amp; Outputs (LD)'!$E$18-$B16*'Key Inputs &amp; Outputs (LD)'!$E$18)/12)*G16</f>
        <v>0</v>
      </c>
      <c r="M16" s="44">
        <f>(1+'Financial assumptions'!$C$11)^(('Key Inputs &amp; Outputs (LD)'!$E$18-$B16*'Key Inputs &amp; Outputs (LD)'!$E$18)/12)*H16</f>
        <v>0</v>
      </c>
      <c r="N16" s="45">
        <f>(1+'Financial assumptions'!$C$11)^(('Key Inputs &amp; Outputs (LD)'!$E$18-$B16*'Key Inputs &amp; Outputs (LD)'!$E$18)/12)*I16</f>
        <v>0</v>
      </c>
    </row>
    <row r="17" spans="1:14" x14ac:dyDescent="0.25">
      <c r="A17" s="56" t="s">
        <v>31</v>
      </c>
      <c r="B17" s="353">
        <v>0.5</v>
      </c>
      <c r="C17" s="331">
        <v>0.03</v>
      </c>
      <c r="D17" s="57" t="s">
        <v>220</v>
      </c>
      <c r="E17" s="333">
        <f>$C17*'1 Civil works'!F$17</f>
        <v>2058000</v>
      </c>
      <c r="F17" s="68">
        <f>$C17*'1 Civil works'!G$17</f>
        <v>2202656.25</v>
      </c>
      <c r="G17" s="68">
        <f>$C17*'1 Civil works'!H$17</f>
        <v>2346656.25</v>
      </c>
      <c r="H17" s="68">
        <f>$C17*'1 Civil works'!I$17</f>
        <v>2490000</v>
      </c>
      <c r="I17" s="334">
        <f>$C17*'1 Civil works'!J$17</f>
        <v>2632687.5</v>
      </c>
      <c r="J17" s="51">
        <f>(1+'Financial assumptions'!$C$11)^(('Key Inputs &amp; Outputs (LD)'!$E$18-$B17*'Key Inputs &amp; Outputs (LD)'!$E$18)/12)*E17</f>
        <v>2263800</v>
      </c>
      <c r="K17" s="44">
        <f>(1+'Financial assumptions'!$C$11)^(('Key Inputs &amp; Outputs (LD)'!$E$18-$B17*'Key Inputs &amp; Outputs (LD)'!$E$18)/12)*F17</f>
        <v>2422921.875</v>
      </c>
      <c r="L17" s="44">
        <f>(1+'Financial assumptions'!$C$11)^(('Key Inputs &amp; Outputs (LD)'!$E$18-$B17*'Key Inputs &amp; Outputs (LD)'!$E$18)/12)*G17</f>
        <v>2581321.875</v>
      </c>
      <c r="M17" s="44">
        <f>(1+'Financial assumptions'!$C$11)^(('Key Inputs &amp; Outputs (LD)'!$E$18-$B17*'Key Inputs &amp; Outputs (LD)'!$E$18)/12)*H17</f>
        <v>2739000</v>
      </c>
      <c r="N17" s="45">
        <f>(1+'Financial assumptions'!$C$11)^(('Key Inputs &amp; Outputs (LD)'!$E$18-$B17*'Key Inputs &amp; Outputs (LD)'!$E$18)/12)*I17</f>
        <v>2895956.2500000005</v>
      </c>
    </row>
    <row r="18" spans="1:14" ht="30" x14ac:dyDescent="0.25">
      <c r="A18" s="332" t="s">
        <v>282</v>
      </c>
      <c r="B18" s="217">
        <v>0.1</v>
      </c>
      <c r="C18" s="331">
        <v>0.02</v>
      </c>
      <c r="D18" s="57" t="s">
        <v>220</v>
      </c>
      <c r="E18" s="333">
        <f>$C18*'1 Civil works'!F$17</f>
        <v>1372000</v>
      </c>
      <c r="F18" s="69">
        <f>$C18*'1 Civil works'!G$17</f>
        <v>1468437.5</v>
      </c>
      <c r="G18" s="69">
        <f>$C18*'1 Civil works'!H$17</f>
        <v>1564437.5</v>
      </c>
      <c r="H18" s="69">
        <f>$C18*'1 Civil works'!I$17</f>
        <v>1660000</v>
      </c>
      <c r="I18" s="70">
        <f>$C18*'1 Civil works'!J$17</f>
        <v>1755125</v>
      </c>
      <c r="J18" s="51">
        <f>(1+'Financial assumptions'!$C$11)^(('Key Inputs &amp; Outputs (LD)'!$E$18-$B18*'Key Inputs &amp; Outputs (LD)'!$E$18)/12)*E18</f>
        <v>1628774.4371250863</v>
      </c>
      <c r="K18" s="44">
        <f>(1+'Financial assumptions'!$C$11)^(('Key Inputs &amp; Outputs (LD)'!$E$18-$B18*'Key Inputs &amp; Outputs (LD)'!$E$18)/12)*F18</f>
        <v>1743260.5411923244</v>
      </c>
      <c r="L18" s="44">
        <f>(1+'Financial assumptions'!$C$11)^(('Key Inputs &amp; Outputs (LD)'!$E$18-$B18*'Key Inputs &amp; Outputs (LD)'!$E$18)/12)*G18</f>
        <v>1857227.2656558871</v>
      </c>
      <c r="M18" s="44">
        <f>(1+'Financial assumptions'!$C$11)^(('Key Inputs &amp; Outputs (LD)'!$E$18-$B18*'Key Inputs &amp; Outputs (LD)'!$E$18)/12)*H18</f>
        <v>1970674.6105157749</v>
      </c>
      <c r="N18" s="45">
        <f>(1+'Financial assumptions'!$C$11)^(('Key Inputs &amp; Outputs (LD)'!$E$18-$B18*'Key Inputs &amp; Outputs (LD)'!$E$18)/12)*I18</f>
        <v>2083602.5757719877</v>
      </c>
    </row>
    <row r="19" spans="1:14" x14ac:dyDescent="0.25">
      <c r="A19" s="56" t="s">
        <v>197</v>
      </c>
      <c r="B19" s="217">
        <v>0.6</v>
      </c>
      <c r="C19" s="331">
        <v>1.4999999999999999E-2</v>
      </c>
      <c r="D19" s="57" t="s">
        <v>281</v>
      </c>
      <c r="E19" s="333">
        <f>$C19*'Key Inputs &amp; Outputs (LD)'!E$34*'Key Inputs &amp; Outputs (LD)'!E$36</f>
        <v>4945402.0265087448</v>
      </c>
      <c r="F19" s="69">
        <f>$C19*'Key Inputs &amp; Outputs (LD)'!F$34*'Key Inputs &amp; Outputs (LD)'!F$36</f>
        <v>5625101.0086340792</v>
      </c>
      <c r="G19" s="69">
        <f>$C19*'Key Inputs &amp; Outputs (LD)'!G$34*'Key Inputs &amp; Outputs (LD)'!G$36</f>
        <v>6115411.7742437376</v>
      </c>
      <c r="H19" s="69">
        <f>$C19*'Key Inputs &amp; Outputs (LD)'!H$34*'Key Inputs &amp; Outputs (LD)'!H$36</f>
        <v>6483750.0000000093</v>
      </c>
      <c r="I19" s="70">
        <f>$C19*'Key Inputs &amp; Outputs (LD)'!I$34*'Key Inputs &amp; Outputs (LD)'!I$36</f>
        <v>6764183.9628824871</v>
      </c>
      <c r="J19" s="51">
        <f>(1+'Financial assumptions'!$C$11)^(('Key Inputs &amp; Outputs (LD)'!$E$18-$B19*'Key Inputs &amp; Outputs (LD)'!$E$18)/12)*E19</f>
        <v>5337227.936710868</v>
      </c>
      <c r="K19" s="44">
        <f>(1+'Financial assumptions'!$C$11)^(('Key Inputs &amp; Outputs (LD)'!$E$18-$B19*'Key Inputs &amp; Outputs (LD)'!$E$18)/12)*F19</f>
        <v>6070779.7038892973</v>
      </c>
      <c r="L19" s="44">
        <f>(1+'Financial assumptions'!$C$11)^(('Key Inputs &amp; Outputs (LD)'!$E$18-$B19*'Key Inputs &amp; Outputs (LD)'!$E$18)/12)*G19</f>
        <v>6599937.9607619718</v>
      </c>
      <c r="M19" s="44">
        <f>(1+'Financial assumptions'!$C$11)^(('Key Inputs &amp; Outputs (LD)'!$E$18-$B19*'Key Inputs &amp; Outputs (LD)'!$E$18)/12)*H19</f>
        <v>6997459.7513316944</v>
      </c>
      <c r="N19" s="45">
        <f>(1+'Financial assumptions'!$C$11)^(('Key Inputs &amp; Outputs (LD)'!$E$18-$B19*'Key Inputs &amp; Outputs (LD)'!$E$18)/12)*I19</f>
        <v>7300112.593926887</v>
      </c>
    </row>
    <row r="20" spans="1:14" x14ac:dyDescent="0.25">
      <c r="A20" s="56" t="s">
        <v>29</v>
      </c>
      <c r="B20" s="217">
        <v>0.75</v>
      </c>
      <c r="C20" s="217">
        <v>0.03</v>
      </c>
      <c r="D20" s="57" t="s">
        <v>281</v>
      </c>
      <c r="E20" s="333">
        <f>$C20*'Key Inputs &amp; Outputs (LD)'!E$34*'Key Inputs &amp; Outputs (LD)'!E$36</f>
        <v>9890804.0530174896</v>
      </c>
      <c r="F20" s="69">
        <f>$C20*'Key Inputs &amp; Outputs (LD)'!F$34*'Key Inputs &amp; Outputs (LD)'!F$36</f>
        <v>11250202.017268158</v>
      </c>
      <c r="G20" s="69">
        <f>$C20*'Key Inputs &amp; Outputs (LD)'!G$34*'Key Inputs &amp; Outputs (LD)'!G$36</f>
        <v>12230823.548487475</v>
      </c>
      <c r="H20" s="69">
        <f>$C20*'Key Inputs &amp; Outputs (LD)'!H$34*'Key Inputs &amp; Outputs (LD)'!H$36</f>
        <v>12967500.000000019</v>
      </c>
      <c r="I20" s="70">
        <f>$C20*'Key Inputs &amp; Outputs (LD)'!I$34*'Key Inputs &amp; Outputs (LD)'!I$36</f>
        <v>13528367.925764974</v>
      </c>
      <c r="J20" s="51">
        <f>(1+'Financial assumptions'!$C$11)^(('Key Inputs &amp; Outputs (LD)'!$E$18-$B20*'Key Inputs &amp; Outputs (LD)'!$E$18)/12)*E20</f>
        <v>10373562.806321941</v>
      </c>
      <c r="K20" s="44">
        <f>(1+'Financial assumptions'!$C$11)^(('Key Inputs &amp; Outputs (LD)'!$E$18-$B20*'Key Inputs &amp; Outputs (LD)'!$E$18)/12)*F20</f>
        <v>11799311.419412533</v>
      </c>
      <c r="L20" s="44">
        <f>(1+'Financial assumptions'!$C$11)^(('Key Inputs &amp; Outputs (LD)'!$E$18-$B20*'Key Inputs &amp; Outputs (LD)'!$E$18)/12)*G20</f>
        <v>12827795.958061516</v>
      </c>
      <c r="M20" s="44">
        <f>(1+'Financial assumptions'!$C$11)^(('Key Inputs &amp; Outputs (LD)'!$E$18-$B20*'Key Inputs &amp; Outputs (LD)'!$E$18)/12)*H20</f>
        <v>13600428.738646461</v>
      </c>
      <c r="N20" s="45">
        <f>(1+'Financial assumptions'!$C$11)^(('Key Inputs &amp; Outputs (LD)'!$E$18-$B20*'Key Inputs &amp; Outputs (LD)'!$E$18)/12)*I20</f>
        <v>14188671.981843585</v>
      </c>
    </row>
    <row r="21" spans="1:14" ht="15.6" thickBot="1" x14ac:dyDescent="0.3">
      <c r="A21" s="58" t="s">
        <v>279</v>
      </c>
      <c r="B21" s="218">
        <v>0.75</v>
      </c>
      <c r="C21" s="218">
        <v>0.15</v>
      </c>
      <c r="D21" s="59"/>
      <c r="E21" s="204">
        <f>$C$21*SUM(E8:E20)</f>
        <v>5989136.3172306838</v>
      </c>
      <c r="F21" s="64">
        <f>$C$21*SUM(F8:F20)</f>
        <v>7514479.7181121511</v>
      </c>
      <c r="G21" s="64">
        <f>$C$21*SUM(G8:G20)</f>
        <v>8861431.7157584298</v>
      </c>
      <c r="H21" s="64">
        <f>$C$21*SUM(H8:H20)</f>
        <v>10073812.500000006</v>
      </c>
      <c r="I21" s="67">
        <f>$C$21*SUM(I8:I20)</f>
        <v>11173766.450873617</v>
      </c>
      <c r="J21" s="52">
        <f>(1+'Financial assumptions'!$C$11)^(('Key Inputs &amp; Outputs (LD)'!$E$18-$B21*'Key Inputs &amp; Outputs (LD)'!$E$18)/12)*E21</f>
        <v>6281459.1624087375</v>
      </c>
      <c r="K21" s="46">
        <f>(1+'Financial assumptions'!$C$11)^(('Key Inputs &amp; Outputs (LD)'!$E$18-$B21*'Key Inputs &amp; Outputs (LD)'!$E$18)/12)*F21</f>
        <v>7881252.8177511711</v>
      </c>
      <c r="L21" s="46">
        <f>(1+'Financial assumptions'!$C$11)^(('Key Inputs &amp; Outputs (LD)'!$E$18-$B21*'Key Inputs &amp; Outputs (LD)'!$E$18)/12)*G21</f>
        <v>9293947.99094305</v>
      </c>
      <c r="M21" s="46">
        <f>(1+'Financial assumptions'!$C$11)^(('Key Inputs &amp; Outputs (LD)'!$E$18-$B21*'Key Inputs &amp; Outputs (LD)'!$E$18)/12)*H21</f>
        <v>10565503.684807081</v>
      </c>
      <c r="N21" s="47">
        <f>(1+'Financial assumptions'!$C$11)^(('Key Inputs &amp; Outputs (LD)'!$E$18-$B21*'Key Inputs &amp; Outputs (LD)'!$E$18)/12)*I21</f>
        <v>11719145.121063042</v>
      </c>
    </row>
    <row r="22" spans="1:14" ht="11.1" customHeight="1" thickBot="1" x14ac:dyDescent="0.3">
      <c r="B22" s="20"/>
      <c r="C22" s="28"/>
      <c r="K22" s="20"/>
      <c r="L22" s="20"/>
      <c r="M22" s="20"/>
      <c r="N22" s="20"/>
    </row>
    <row r="23" spans="1:14" ht="16.2" thickBot="1" x14ac:dyDescent="0.3">
      <c r="A23" s="439" t="s">
        <v>16</v>
      </c>
      <c r="B23" s="440"/>
      <c r="C23" s="440"/>
      <c r="D23" s="441"/>
      <c r="E23" s="177">
        <f>SUM(E8:E21)</f>
        <v>45916711.765435249</v>
      </c>
      <c r="F23" s="174">
        <f t="shared" ref="F23:N23" si="0">SUM(F8:F21)</f>
        <v>57611011.172193155</v>
      </c>
      <c r="G23" s="174">
        <f t="shared" si="0"/>
        <v>67937643.154147968</v>
      </c>
      <c r="H23" s="174">
        <f t="shared" si="0"/>
        <v>77232562.500000045</v>
      </c>
      <c r="I23" s="175">
        <f t="shared" si="0"/>
        <v>85665542.790031061</v>
      </c>
      <c r="J23" s="176">
        <f>SUM(J8:J21)</f>
        <v>50712851.448547192</v>
      </c>
      <c r="K23" s="174">
        <f t="shared" si="0"/>
        <v>63886851.284365475</v>
      </c>
      <c r="L23" s="174">
        <f t="shared" si="0"/>
        <v>75564431.468107134</v>
      </c>
      <c r="M23" s="174">
        <f t="shared" si="0"/>
        <v>86104596.688746572</v>
      </c>
      <c r="N23" s="175">
        <f t="shared" si="0"/>
        <v>95688768.713244975</v>
      </c>
    </row>
    <row r="25" spans="1:14" ht="15.6" x14ac:dyDescent="0.3">
      <c r="A25" s="15" t="s">
        <v>223</v>
      </c>
      <c r="H25" s="335" t="s">
        <v>40</v>
      </c>
      <c r="I25" s="335"/>
      <c r="J25" s="10"/>
      <c r="K25" s="10"/>
      <c r="L25" s="10"/>
      <c r="M25" s="10"/>
    </row>
    <row r="26" spans="1:14" ht="17.399999999999999" x14ac:dyDescent="0.3">
      <c r="A26" s="15" t="s">
        <v>224</v>
      </c>
      <c r="H26" s="341"/>
      <c r="I26" s="349" t="s">
        <v>303</v>
      </c>
      <c r="J26" s="349"/>
      <c r="K26" s="349"/>
      <c r="L26" s="349"/>
      <c r="M26" s="349"/>
    </row>
    <row r="27" spans="1:14" ht="17.399999999999999" x14ac:dyDescent="0.3">
      <c r="H27" s="343"/>
      <c r="I27" s="349" t="s">
        <v>304</v>
      </c>
      <c r="J27" s="349"/>
      <c r="K27" s="349"/>
      <c r="L27" s="349"/>
      <c r="M27" s="349"/>
    </row>
    <row r="28" spans="1:14" ht="17.399999999999999" x14ac:dyDescent="0.3">
      <c r="H28" s="344"/>
      <c r="I28" s="349" t="s">
        <v>306</v>
      </c>
      <c r="J28" s="349"/>
      <c r="K28" s="349"/>
      <c r="L28" s="349"/>
      <c r="M28" s="349"/>
    </row>
    <row r="29" spans="1:14" ht="17.399999999999999" x14ac:dyDescent="0.3">
      <c r="H29" s="346"/>
      <c r="I29" s="349" t="s">
        <v>305</v>
      </c>
      <c r="J29" s="349"/>
      <c r="K29" s="349"/>
      <c r="L29" s="349"/>
      <c r="M29" s="349"/>
    </row>
    <row r="30" spans="1:14" ht="17.399999999999999" x14ac:dyDescent="0.3">
      <c r="H30" s="347"/>
      <c r="I30" s="349" t="s">
        <v>171</v>
      </c>
      <c r="J30" s="349"/>
      <c r="K30" s="349"/>
      <c r="L30" s="349"/>
      <c r="M30" s="349"/>
    </row>
  </sheetData>
  <mergeCells count="3">
    <mergeCell ref="E6:I6"/>
    <mergeCell ref="J6:N6"/>
    <mergeCell ref="A23:D23"/>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1</vt:i4>
      </vt:variant>
    </vt:vector>
  </HeadingPairs>
  <TitlesOfParts>
    <vt:vector size="16" baseType="lpstr">
      <vt:lpstr>Model Overview </vt:lpstr>
      <vt:lpstr>High-level Assumptions</vt:lpstr>
      <vt:lpstr>Getting Started</vt:lpstr>
      <vt:lpstr>Feasibility chart workings</vt:lpstr>
      <vt:lpstr>Financial assumptions</vt:lpstr>
      <vt:lpstr> Land dev. model&gt;&gt;&gt;</vt:lpstr>
      <vt:lpstr>Key Inputs &amp; Outputs (LD)</vt:lpstr>
      <vt:lpstr>1 Civil works</vt:lpstr>
      <vt:lpstr>2 Fees and charges</vt:lpstr>
      <vt:lpstr>3 Section price gradient</vt:lpstr>
      <vt:lpstr>Building dev. model&gt;&gt;&gt;</vt:lpstr>
      <vt:lpstr>Key Inputs &amp; Outputs (BD)</vt:lpstr>
      <vt:lpstr>1 Site preparation</vt:lpstr>
      <vt:lpstr>2 Construction</vt:lpstr>
      <vt:lpstr>3 Ancillary</vt:lpstr>
      <vt:lpstr>'Key Inputs &amp; Outputs (LD)'!Print_Area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2018-09-25T20:59:59Z</dcterms:modified>
</cp:coreProperties>
</file>