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hidePivotFieldList="1" defaultThemeVersion="124226"/>
  <mc:AlternateContent xmlns:mc="http://schemas.openxmlformats.org/markup-compatibility/2006">
    <mc:Choice Requires="x15">
      <x15ac:absPath xmlns:x15ac="http://schemas.microsoft.com/office/spreadsheetml/2010/11/ac" url="https://mhud.sharepoint.com/sites/team2019628102439/Teamonly/SCA_Shared Documents/Finance &amp; Analysis/2. FV Funding Model Working Files/"/>
    </mc:Choice>
  </mc:AlternateContent>
  <xr:revisionPtr revIDLastSave="273" documentId="13_ncr:1_{E6B52FD7-A05E-4272-9ACD-CBC2635D0EC4}" xr6:coauthVersionLast="47" xr6:coauthVersionMax="47" xr10:uidLastSave="{FDDECA68-4233-457E-BC95-BEEA0F91D19F}"/>
  <workbookProtection workbookAlgorithmName="SHA-512" workbookHashValue="A/4cExmudBoIj8dxoSjcPZPh+gGeOm5mcL+h07BlQdaBWpSq5rqVqL5gsLahC5kszjC/x4LAeqTbV5368MHWrw==" workbookSaltValue="SNb31QoWUD6+pB0K4q6tLA==" workbookSpinCount="100000" lockStructure="1"/>
  <bookViews>
    <workbookView xWindow="-98" yWindow="-98" windowWidth="21795" windowHeight="13875" tabRatio="857" xr2:uid="{00000000-000D-0000-FFFF-FFFF00000000}"/>
  </bookViews>
  <sheets>
    <sheet name="Disclaimer" sheetId="27" r:id="rId1"/>
    <sheet name="Introduction" sheetId="8" r:id="rId2"/>
    <sheet name="Build-to-Lease OS Calculator" sheetId="26" r:id="rId3"/>
    <sheet name="TM Cost Calculator" sheetId="20" r:id="rId4"/>
    <sheet name="Memo Table" sheetId="30" state="hidden" r:id="rId5"/>
    <sheet name="WOL" sheetId="28" state="hidden" r:id="rId6"/>
    <sheet name="IRR" sheetId="29" state="hidden" r:id="rId7"/>
  </sheets>
  <externalReferences>
    <externalReference r:id="rId8"/>
    <externalReference r:id="rId9"/>
    <externalReference r:id="rId10"/>
  </externalReferences>
  <definedNames>
    <definedName name="_Order1" hidden="1">255</definedName>
    <definedName name="Alt_Chk_14_Hdg" hidden="1">[1]BS_Fcast_TO!$B$1</definedName>
    <definedName name="Alt_Chk_15_Hdg" hidden="1">[1]Fcast_OP_TO!$C$116</definedName>
    <definedName name="Alt_Chk_2_Hdg" hidden="1">[1]BS_Hist_TO!$B$1</definedName>
    <definedName name="Err_Chk_1_Hdg" hidden="1">[1]Fcast_OP_TO!$C$26</definedName>
    <definedName name="Err_Chk_11_Hdg" hidden="1">[1]IS_Fcast_TO!$B$1</definedName>
    <definedName name="Err_Chk_13_Hdg" hidden="1">[1]BS_Fcast_TO!$B$1</definedName>
    <definedName name="Err_Chk_14_Hdg" hidden="1">[1]CFS_Fcast_TO!$B$1</definedName>
    <definedName name="Err_Chk_15_Hdg" hidden="1">[1]Fcast_OP_TO!$C$116</definedName>
    <definedName name="Err_Chk_2_Hdg" hidden="1">[1]Fcast_OP_TO!$C$43</definedName>
    <definedName name="Err_Chk_3_Hdg" hidden="1">[1]Fcast_OP_TO!$C$63</definedName>
    <definedName name="Err_Chk_4_Hdg" hidden="1">[1]Fcast_OP_TO!$C$75</definedName>
    <definedName name="HL_Alt_Chk_1" localSheetId="2" hidden="1">[2]O_BS!#REF!</definedName>
    <definedName name="HL_Alt_Chk_1" localSheetId="6" hidden="1">[3]O_BS!#REF!</definedName>
    <definedName name="HL_Alt_Chk_1" hidden="1">[3]O_BS!#REF!</definedName>
    <definedName name="HL_Alt_Chk_14" hidden="1">[1]BS_Fcast_TO!$I$73</definedName>
    <definedName name="HL_Alt_Chk_15" hidden="1">[1]Fcast_OP_TO!$I$137</definedName>
    <definedName name="HL_Alt_Chk_2" hidden="1">[1]BS_Hist_TO!$H$75</definedName>
    <definedName name="HL_Alt_Chk_3" hidden="1">[3]O_BS!#REF!</definedName>
    <definedName name="HL_Err_Chk_1" hidden="1">[1]Fcast_OP_TO!$I$41</definedName>
    <definedName name="HL_Err_Chk_11" hidden="1">[1]IS_Fcast_TO!$I$54</definedName>
    <definedName name="HL_Err_Chk_13" hidden="1">[1]BS_Fcast_TO!$I$71</definedName>
    <definedName name="HL_Err_Chk_14" hidden="1">[1]CFS_Fcast_TO!$I$113</definedName>
    <definedName name="HL_Err_Chk_15" hidden="1">[1]Fcast_OP_TO!$I$135</definedName>
    <definedName name="HL_Err_Chk_2" hidden="1">[1]Fcast_OP_TO!$I$58</definedName>
    <definedName name="HL_Err_Chk_3" hidden="1">[1]Fcast_OP_TO!$I$73</definedName>
    <definedName name="HL_Err_Chk_4" hidden="1">[1]Fcast_OP_TO!$I$85</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HELD_FDIC" hidden="1">"c6305"</definedName>
    <definedName name="IQ_ASSETS_NAME_AP" hidden="1">"c8921"</definedName>
    <definedName name="IQ_ASSETS_NAME_AP_ABS" hidden="1">"c8940"</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"c11749"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CIQ" hidden="1">"c5068"</definedName>
    <definedName name="IQ_BV_OVER_SHARES" hidden="1">"c1349"</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Y" hidden="1">"c102"</definedName>
    <definedName name="IQ_CAL_Y_EST" hidden="1">"c6797"</definedName>
    <definedName name="IQ_CAL_Y_EST_CIQ" hidden="1">"c6809"</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"c1351"</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_CIQ" hidden="1">"c4566"</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FF_LASTCLOSE_TARGET_PRICE_CIQ" hidden="1">"c4767"</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_CIQ" hidden="1">"c4811"</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_SBC_ACT_OR_EST_CIQ" hidden="1">"c4841"</definedName>
    <definedName name="IQ_EBIT_SBC_GW_ACT_OR_EST_CIQ" hidden="1">"c4845"</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_CIQ" hidden="1">"c5060"</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XCL_SBC" hidden="1">"c3081"</definedName>
    <definedName name="IQ_EBITDA_HIGH_EST" hidden="1">"c370"</definedName>
    <definedName name="IQ_EBITDA_HIGH_EST_CIQ" hidden="1">"c3624"</definedName>
    <definedName name="IQ_EBITDA_INT" hidden="1">"c373"</definedName>
    <definedName name="IQ_EBITDA_LOW_EST" hidden="1">"c371"</definedName>
    <definedName name="IQ_EBITDA_LOW_EST_CIQ" hidden="1">"c3625"</definedName>
    <definedName name="IQ_EBITDA_MARGIN" hidden="1">"c372"</definedName>
    <definedName name="IQ_EBITDA_MEDIAN_EST" hidden="1">"c1663"</definedName>
    <definedName name="IQ_EBITDA_MEDIAN_EST_CIQ" hidden="1">"c3623"</definedName>
    <definedName name="IQ_EBITDA_NUM_EST" hidden="1">"c374"</definedName>
    <definedName name="IQ_EBITDA_NUM_EST_CIQ" hidden="1">"c3626"</definedName>
    <definedName name="IQ_EBITDA_OVER_TOTAL_IE" hidden="1">"c1371"</definedName>
    <definedName name="IQ_EBITDA_SBC_ACT_OR_EST_CIQ" hidden="1">"c4862"</definedName>
    <definedName name="IQ_EBITDA_STDDEV_EST" hidden="1">"c375"</definedName>
    <definedName name="IQ_EBITDA_STDDEV_EST_CIQ" hidden="1">"c3627"</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_CIQ" hidden="1">"c4875"</definedName>
    <definedName name="IQ_EBT_SBC_GW_ACT_OR_EST_CIQ" hidden="1">"c4879"</definedName>
    <definedName name="IQ_EBT_SUBTOTAL_AP" hidden="1">"c8982"</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_CIQ" hidden="1">"c5058"</definedName>
    <definedName name="IQ_EPS_AP" hidden="1">"c8880"</definedName>
    <definedName name="IQ_EPS_AP_ABS" hidden="1">"c8899"</definedName>
    <definedName name="IQ_EPS_EST" hidden="1">"c399"</definedName>
    <definedName name="IQ_EPS_EST_CIQ" hidden="1">"c4994"</definedName>
    <definedName name="IQ_EPS_GW_ACT_OR_EST_CIQ" hidden="1">"c5066"</definedName>
    <definedName name="IQ_EPS_GW_EST" hidden="1">"c1737"</definedName>
    <definedName name="IQ_EPS_GW_EST_CIQ" hidden="1">"c4723"</definedName>
    <definedName name="IQ_EPS_GW_HIGH_EST" hidden="1">"c1739"</definedName>
    <definedName name="IQ_EPS_GW_HIGH_EST_CIQ" hidden="1">"c4725"</definedName>
    <definedName name="IQ_EPS_GW_LOW_EST" hidden="1">"c1740"</definedName>
    <definedName name="IQ_EPS_GW_LOW_EST_CIQ" hidden="1">"c4726"</definedName>
    <definedName name="IQ_EPS_GW_MEDIAN_EST" hidden="1">"c1738"</definedName>
    <definedName name="IQ_EPS_GW_MEDIAN_EST_CIQ" hidden="1">"c4724"</definedName>
    <definedName name="IQ_EPS_GW_NUM_EST" hidden="1">"c1741"</definedName>
    <definedName name="IQ_EPS_GW_NUM_EST_CIQ" hidden="1">"c4727"</definedName>
    <definedName name="IQ_EPS_GW_STDDEV_EST" hidden="1">"c1742"</definedName>
    <definedName name="IQ_EPS_GW_STDDEV_EST_CIQ" hidden="1">"c4728"</definedName>
    <definedName name="IQ_EPS_HIGH_EST" hidden="1">"c400"</definedName>
    <definedName name="IQ_EPS_HIGH_EST_CIQ" hidden="1">"c4995"</definedName>
    <definedName name="IQ_EPS_LOW_EST" hidden="1">"c401"</definedName>
    <definedName name="IQ_EPS_LOW_EST_CIQ" hidden="1">"c4996"</definedName>
    <definedName name="IQ_EPS_MEDIAN_EST" hidden="1">"c1661"</definedName>
    <definedName name="IQ_EPS_MEDIAN_EST_CIQ" hidden="1">"c4997"</definedName>
    <definedName name="IQ_EPS_NAME_AP" hidden="1">"c8918"</definedName>
    <definedName name="IQ_EPS_NAME_AP_ABS" hidden="1">"c8937"</definedName>
    <definedName name="IQ_EPS_NORM" hidden="1">"c1902"</definedName>
    <definedName name="IQ_EPS_NORM_EST" hidden="1">"c2226"</definedName>
    <definedName name="IQ_EPS_NORM_EST_CIQ" hidden="1">"c4667"</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REPORT_ACT_OR_EST_CIQ" hidden="1">"c5067"</definedName>
    <definedName name="IQ_EPS_REPORTED_EST" hidden="1">"c1744"</definedName>
    <definedName name="IQ_EPS_REPORTED_EST_CIQ" hidden="1">"c4730"</definedName>
    <definedName name="IQ_EPS_REPORTED_HIGH_EST" hidden="1">"c1746"</definedName>
    <definedName name="IQ_EPS_REPORTED_HIGH_EST_CIQ" hidden="1">"c4732"</definedName>
    <definedName name="IQ_EPS_REPORTED_LOW_EST" hidden="1">"c1747"</definedName>
    <definedName name="IQ_EPS_REPORTED_LOW_EST_CIQ" hidden="1">"c4733"</definedName>
    <definedName name="IQ_EPS_REPORTED_MEDIAN_EST" hidden="1">"c1745"</definedName>
    <definedName name="IQ_EPS_REPORTED_MEDIAN_EST_CIQ" hidden="1">"c4731"</definedName>
    <definedName name="IQ_EPS_REPORTED_NUM_EST" hidden="1">"c1748"</definedName>
    <definedName name="IQ_EPS_REPORTED_NUM_EST_CIQ" hidden="1">"c4734"</definedName>
    <definedName name="IQ_EPS_REPORTED_STDDEV_EST" hidden="1">"c1749"</definedName>
    <definedName name="IQ_EPS_REPORTED_STDDEV_EST_CIQ" hidden="1">"c4735"</definedName>
    <definedName name="IQ_EPS_SBC_ACT_OR_EST_CIQ" hidden="1">"c4901"</definedName>
    <definedName name="IQ_EPS_SBC_GW_ACT_OR_EST_CIQ" hidden="1">"c4905"</definedName>
    <definedName name="IQ_EPS_STDDEV_EST" hidden="1">"c403"</definedName>
    <definedName name="IQ_EPS_STDDEV_EST_CIQ" hidden="1">"c4993"</definedName>
    <definedName name="IQ_EQUITY_AFFIL" hidden="1">"c1451"</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CIQ" hidden="1">"c4729"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CURRENCY" hidden="1">"c2140"</definedName>
    <definedName name="IQ_EST_CURRENCY_CIQ" hidden="1">"c4769"</definedName>
    <definedName name="IQ_EST_DATE" hidden="1">"c1634"</definedName>
    <definedName name="IQ_EST_DATE_CIQ" hidden="1">"c4770"</definedName>
    <definedName name="IQ_EST_EPS_GROWTH_1YR" hidden="1">"c1636"</definedName>
    <definedName name="IQ_EST_EPS_GROWTH_1YR_CIQ" hidden="1">"c3628"</definedName>
    <definedName name="IQ_EST_EPS_GROWTH_5YR" hidden="1">"c1655"</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W_DIFF" hidden="1">"c1891"</definedName>
    <definedName name="IQ_EST_EPS_GW_DIFF_CIQ" hidden="1">"c4761"</definedName>
    <definedName name="IQ_EST_EPS_GW_SURPRISE_PERCENT" hidden="1">"c1892"</definedName>
    <definedName name="IQ_EST_EPS_GW_SURPRISE_PERCENT_CIQ" hidden="1">"c4762"</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SURPRISE_PERCENT" hidden="1">"c1894"</definedName>
    <definedName name="IQ_EST_EPS_REPORT_SURPRISE_PERCENT_CIQ" hidden="1">"c4764"</definedName>
    <definedName name="IQ_EST_FOOTNOTE" hidden="1">"c4540"</definedName>
    <definedName name="IQ_EST_FOOTNOTE_CIQ" hidden="1">"c12022"</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D" hidden="1">"c8757"</definedName>
    <definedName name="IQ_FAD_PAYOUT_RATIO" hidden="1">"c8872"</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_CIQ" hidden="1">"c4960"</definedName>
    <definedName name="IQ_FFO_PAYOUT_RATIO" hidden="1">"c3492"</definedName>
    <definedName name="IQ_FFO_PER_SHARE_BASIC" hidden="1">"c8867"</definedName>
    <definedName name="IQ_FFO_PER_SHARE_DILUTED" hidden="1">"c8868"</definedName>
    <definedName name="IQ_FFO_SHARE_ACT_OR_EST_CIQ" hidden="1">"c4971"</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Y" hidden="1">"c441"</definedName>
    <definedName name="IQ_FISCAL_Y_EST" hidden="1">"c6795"</definedName>
    <definedName name="IQ_FISCAL_Y_EST_CIQ" hidden="1">"c6807"</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_TARGET_PRICE_CIQ" hidden="1">"c4659"</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CIQ" hidden="1">"c4660"</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ULTIFAMILY_RESIDENTIAL_LOANS_FDIC" hidden="1">"c6311"</definedName>
    <definedName name="IQ_NAMES_REVISION_DATE_" hidden="1">40911.8713773148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_CIQ" hidden="1">"c5012"</definedName>
    <definedName name="IQ_NI_SBC_GW_ACT_OR_EST_CIQ" hidden="1">"c5016"</definedName>
    <definedName name="IQ_NI_SFAS" hidden="1">"c795"</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"c11750"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NORMALIZED" hidden="1">"c2207"</definedName>
    <definedName name="IQ_PE_RATIO" hidden="1">"c1610"</definedName>
    <definedName name="IQ_PEG_FWD" hidden="1">"c1863"</definedName>
    <definedName name="IQ_PEG_FWD_CIQ" hidden="1">"c4045"</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IODDATE" hidden="1">"c1414"</definedName>
    <definedName name="IQ_PERIODDATE_AP" hidden="1">"c11745"</definedName>
    <definedName name="IQ_PERIODDATE_BS" hidden="1">"c1032"</definedName>
    <definedName name="IQ_PERIODDATE_CF" hidden="1">"c1033"</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CIQ" hidden="1">"c3799"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CIQ" hidden="1">"c3613"</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_CIQ" hidden="1">"c5045"</definedName>
    <definedName name="IQ_RECURRING_PROFIT_SHARE_ACT_OR_EST_CIQ" hidden="1">"c5046"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STDDEV_EST_CIQ" hidden="1">"c3621"</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_CIQ" hidden="1">"c5059"</definedName>
    <definedName name="IQ_REVENUE_EST" hidden="1">"c1126"</definedName>
    <definedName name="IQ_REVENUE_EST_CIQ" hidden="1">"c3616"</definedName>
    <definedName name="IQ_REVENUE_HIGH_EST" hidden="1">"c1127"</definedName>
    <definedName name="IQ_REVENUE_HIGH_EST_CIQ" hidden="1">"c3618"</definedName>
    <definedName name="IQ_REVENUE_LOW_EST" hidden="1">"c1128"</definedName>
    <definedName name="IQ_REVENUE_LOW_EST_CIQ" hidden="1">"c3619"</definedName>
    <definedName name="IQ_REVENUE_MEDIAN_EST" hidden="1">"c1662"</definedName>
    <definedName name="IQ_REVENUE_MEDIAN_EST_CIQ" hidden="1">"c3617"</definedName>
    <definedName name="IQ_REVENUE_NUM_EST" hidden="1">"c1129"</definedName>
    <definedName name="IQ_REVENUE_NUM_EST_CIQ" hidden="1">"c3620"</definedName>
    <definedName name="IQ_RISK_ADJ_BANK_ASSETS" hidden="1">"c2670"</definedName>
    <definedName name="IQ_RISK_WEIGHTED_ASSETS_FDIC" hidden="1">"c6370"</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CIQ" hidden="1">"c4661"</definedName>
    <definedName name="IQ_TARGET_PRICE_STDDEV" hidden="1">"c1654"</definedName>
    <definedName name="IQ_TARGET_PRICE_STDDEV_CIQ" hidden="1">"c4662"</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CIQ" hidden="1">"c4043"</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ISK_BASED_CAPITAL_RATIO_FDIC" hidden="1">"c6747"</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TOC_Hdg_1" hidden="1">[1]Keys_BO!$B$7</definedName>
    <definedName name="TOC_Hdg_10" hidden="1">[1]Fcast_TA!$B$45</definedName>
    <definedName name="TOC_Hdg_11" hidden="1">[1]Fcast_TA!$B$58</definedName>
    <definedName name="TOC_Hdg_12" hidden="1">[1]Fcast_TA!$B$106</definedName>
    <definedName name="TOC_Hdg_13" hidden="1">[1]Fcast_TA!$B$123</definedName>
    <definedName name="TOC_Hdg_15" hidden="1">[1]Fcast_OP_TO!$B$88</definedName>
    <definedName name="TOC_Hdg_16" hidden="1">[1]Fcast_OP_TO!$B$182</definedName>
    <definedName name="TOC_Hdg_17" hidden="1">[1]Fcast_OP_TO!$B$61</definedName>
    <definedName name="TOC_Hdg_2" hidden="1">[1]Keys_BO!$B$54</definedName>
    <definedName name="TOC_Hdg_21" hidden="1">[1]Fcast_OP_TO!$B$16</definedName>
    <definedName name="TOC_Hdg_24" hidden="1">[1]Fcast_OP_TO!$B$24</definedName>
    <definedName name="TOC_Hdg_3" hidden="1">[1]Keys_BO!$B$102</definedName>
    <definedName name="TOC_Hdg_32" hidden="1">[1]Fcast_OP_TO!$B$157</definedName>
    <definedName name="TOC_Hdg_5" hidden="1">[1]Fcast_TA!$B$16</definedName>
    <definedName name="TOC_Hdg_6" hidden="1">[1]Checks_BO!$B$7</definedName>
    <definedName name="TOC_Hdg_7" hidden="1">[1]Checks_BO!$B$32</definedName>
    <definedName name="TOC_Hdg_8" hidden="1">[1]Checks_BO!$B$48</definedName>
    <definedName name="TOC_Hdg_9" hidden="1">[1]Fcast_TA!$B$29</definedName>
  </definedNames>
  <calcPr calcId="191028"/>
  <pivotCaches>
    <pivotCache cacheId="375"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3" i="28" l="1"/>
  <c r="C27" i="30"/>
  <c r="C26" i="30"/>
  <c r="D21" i="30"/>
  <c r="C22" i="30"/>
  <c r="C21" i="30"/>
  <c r="D20" i="30"/>
  <c r="C20" i="30"/>
  <c r="C17" i="30"/>
  <c r="C18" i="30"/>
  <c r="C19" i="30"/>
  <c r="C10" i="30"/>
  <c r="C11" i="30"/>
  <c r="C12" i="30"/>
  <c r="C13" i="30"/>
  <c r="C9" i="30"/>
  <c r="C6" i="30"/>
  <c r="C5" i="30"/>
  <c r="C4" i="30"/>
  <c r="D25" i="30"/>
  <c r="C25" i="30"/>
  <c r="C24" i="30"/>
  <c r="D24" i="30" s="1"/>
  <c r="C23" i="30"/>
  <c r="D23" i="30" s="1"/>
  <c r="D22" i="30"/>
  <c r="D8" i="28"/>
  <c r="C6" i="29"/>
  <c r="C7" i="29"/>
  <c r="C8" i="29"/>
  <c r="C9" i="29"/>
  <c r="C5" i="29"/>
  <c r="E9" i="29"/>
  <c r="E8" i="29"/>
  <c r="E7" i="29"/>
  <c r="E6" i="29"/>
  <c r="E5" i="29"/>
  <c r="D9" i="29" a="1"/>
  <c r="D9" i="29" s="1"/>
  <c r="D8" i="29" a="1"/>
  <c r="D8" i="29" s="1"/>
  <c r="D7" i="29" a="1"/>
  <c r="D7" i="29" s="1"/>
  <c r="D6" i="29" a="1"/>
  <c r="D6" i="29" s="1"/>
  <c r="D5" i="29" a="1"/>
  <c r="D5" i="29" s="1"/>
  <c r="F10" i="29" s="1"/>
  <c r="D19" i="28" l="1"/>
  <c r="D7" i="28"/>
  <c r="D6" i="28"/>
  <c r="F9" i="29"/>
  <c r="F8" i="29"/>
  <c r="F7" i="29"/>
  <c r="F6" i="29"/>
  <c r="F5" i="29"/>
  <c r="D14" i="28"/>
  <c r="D18" i="28" l="1"/>
  <c r="E88" i="26" l="1"/>
  <c r="E87" i="26"/>
  <c r="F21" i="26" l="1"/>
  <c r="F22" i="26"/>
  <c r="H97" i="26" l="1"/>
  <c r="H98" i="26"/>
  <c r="H99" i="26"/>
  <c r="H100" i="26"/>
  <c r="H101" i="26"/>
  <c r="H102" i="26"/>
  <c r="H103" i="26"/>
  <c r="H104" i="26"/>
  <c r="I88" i="26"/>
  <c r="E82" i="26"/>
  <c r="I87" i="26"/>
  <c r="E91" i="26"/>
  <c r="H91" i="26" s="1"/>
  <c r="I91" i="26"/>
  <c r="E92" i="26"/>
  <c r="I92" i="26"/>
  <c r="E93" i="26"/>
  <c r="I93" i="26" s="1"/>
  <c r="H93" i="26"/>
  <c r="E94" i="26"/>
  <c r="I94" i="26" s="1"/>
  <c r="H94" i="26"/>
  <c r="E95" i="26"/>
  <c r="I95" i="26" s="1"/>
  <c r="H95" i="26"/>
  <c r="E96" i="26"/>
  <c r="H96" i="26"/>
  <c r="E97" i="26"/>
  <c r="I97" i="26" s="1"/>
  <c r="E98" i="26"/>
  <c r="I98" i="26"/>
  <c r="E99" i="26"/>
  <c r="I99" i="26" s="1"/>
  <c r="E100" i="26"/>
  <c r="E101" i="26"/>
  <c r="I101" i="26" s="1"/>
  <c r="E102" i="26"/>
  <c r="I102" i="26"/>
  <c r="E103" i="26"/>
  <c r="I103" i="26"/>
  <c r="E104" i="26"/>
  <c r="I104" i="26"/>
  <c r="E76" i="26"/>
  <c r="D36" i="26"/>
  <c r="F38" i="26"/>
  <c r="F39" i="26" s="1"/>
  <c r="H82" i="26" l="1"/>
  <c r="H85" i="26" s="1"/>
  <c r="D11" i="28"/>
  <c r="K87" i="26"/>
  <c r="K88" i="26"/>
  <c r="K99" i="26"/>
  <c r="K104" i="26"/>
  <c r="K96" i="26"/>
  <c r="K101" i="26"/>
  <c r="I96" i="26"/>
  <c r="K103" i="26"/>
  <c r="K93" i="26"/>
  <c r="K98" i="26"/>
  <c r="E105" i="26"/>
  <c r="K91" i="26"/>
  <c r="E84" i="26"/>
  <c r="K100" i="26"/>
  <c r="K92" i="26"/>
  <c r="K102" i="26"/>
  <c r="K94" i="26"/>
  <c r="K97" i="26"/>
  <c r="I100" i="26"/>
  <c r="K95" i="26"/>
  <c r="H92" i="26"/>
  <c r="H105" i="26" s="1"/>
  <c r="D52" i="26"/>
  <c r="F52" i="26" s="1"/>
  <c r="D53" i="26"/>
  <c r="F53" i="26" s="1"/>
  <c r="D54" i="26"/>
  <c r="F54" i="26" s="1"/>
  <c r="D55" i="26"/>
  <c r="F55" i="26" s="1"/>
  <c r="D51" i="26"/>
  <c r="F51" i="26" s="1"/>
  <c r="I105" i="26" l="1"/>
  <c r="D15" i="28"/>
  <c r="D26" i="28"/>
  <c r="H107" i="26"/>
  <c r="K84" i="26"/>
  <c r="K105" i="26" s="1"/>
  <c r="I84" i="26"/>
  <c r="I109" i="26" s="1"/>
  <c r="F56" i="26"/>
  <c r="D20" i="26"/>
  <c r="F16" i="26"/>
  <c r="F17" i="26"/>
  <c r="F18" i="26"/>
  <c r="F19" i="26"/>
  <c r="B112" i="26"/>
  <c r="I110" i="26" l="1"/>
  <c r="F95" i="26"/>
  <c r="F104" i="26"/>
  <c r="F103" i="26"/>
  <c r="F101" i="26"/>
  <c r="F93" i="26"/>
  <c r="F97" i="26"/>
  <c r="F98" i="26"/>
  <c r="F88" i="26"/>
  <c r="F87" i="26"/>
  <c r="F94" i="26"/>
  <c r="F99" i="26"/>
  <c r="F96" i="26"/>
  <c r="F82" i="26"/>
  <c r="F100" i="26"/>
  <c r="F91" i="26"/>
  <c r="F92" i="26"/>
  <c r="F102" i="26"/>
  <c r="F84" i="26"/>
  <c r="D47" i="26"/>
  <c r="D46" i="26"/>
  <c r="D45" i="26"/>
  <c r="D44" i="26"/>
  <c r="D43" i="26"/>
  <c r="D30" i="26"/>
  <c r="E30" i="26" s="1"/>
  <c r="D29" i="26"/>
  <c r="E29" i="26" s="1"/>
  <c r="F24" i="26"/>
  <c r="F23" i="26"/>
  <c r="F15" i="26"/>
  <c r="E83" i="26" l="1"/>
  <c r="F83" i="26" s="1"/>
  <c r="F85" i="26" s="1"/>
  <c r="D17" i="28"/>
  <c r="F105" i="26"/>
  <c r="F20" i="26"/>
  <c r="D14" i="26"/>
  <c r="D25" i="28" l="1"/>
  <c r="D27" i="28" s="1"/>
  <c r="D28" i="28" s="1"/>
  <c r="D34" i="28"/>
  <c r="I83" i="26"/>
  <c r="I85" i="26" s="1"/>
  <c r="I107" i="26" s="1"/>
  <c r="E85" i="26"/>
  <c r="E107" i="26" s="1"/>
  <c r="F107" i="26"/>
  <c r="E14" i="26"/>
  <c r="F25" i="26"/>
  <c r="D31" i="26" s="1"/>
  <c r="E31" i="26" s="1"/>
  <c r="E47" i="26"/>
  <c r="F47" i="26" s="1"/>
  <c r="E43" i="26"/>
  <c r="F43" i="26" s="1"/>
  <c r="E44" i="26"/>
  <c r="F44" i="26" s="1"/>
  <c r="E45" i="26"/>
  <c r="F45" i="26" s="1"/>
  <c r="E46" i="26"/>
  <c r="F46" i="26" s="1"/>
  <c r="D30" i="28" l="1"/>
  <c r="D31" i="28" s="1"/>
  <c r="C7" i="30" s="1"/>
  <c r="D10" i="26"/>
  <c r="D37" i="28" l="1"/>
  <c r="D38" i="28" s="1"/>
  <c r="C15" i="30"/>
  <c r="C16" i="30"/>
  <c r="F35" i="20"/>
  <c r="F39" i="20" s="1"/>
  <c r="F14" i="20"/>
  <c r="F12" i="20"/>
  <c r="F13" i="20" s="1"/>
  <c r="F15" i="20" s="1"/>
  <c r="F41"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Guy Brocklehurst</author>
  </authors>
  <commentList>
    <comment ref="C30" authorId="0" shapeId="0" xr:uid="{891328F9-62F7-4E1C-BFDF-65B5D25ECA1A}">
      <text>
        <r>
          <rPr>
            <b/>
            <sz val="9"/>
            <color indexed="81"/>
            <rFont val="Tahoma"/>
            <family val="2"/>
          </rPr>
          <t xml:space="preserve">Includes: </t>
        </r>
        <r>
          <rPr>
            <sz val="9"/>
            <color indexed="81"/>
            <rFont val="Tahoma"/>
            <family val="2"/>
          </rPr>
          <t xml:space="preserve">
Offsite Infrastructure
Excavation/ Siteworks
Road Works
Fencing
Pathways 
Demolition
Disconnections
Electricity
Phone
</t>
        </r>
      </text>
    </comment>
    <comment ref="C32" authorId="0" shapeId="0" xr:uid="{2458A27B-079B-4B15-8C66-F1CB163B132C}">
      <text>
        <r>
          <rPr>
            <sz val="9"/>
            <color indexed="81"/>
            <rFont val="Tahoma"/>
            <family val="2"/>
          </rPr>
          <t>Valuation
Council LIM
Urban Design
Architecture
Engineering / infrastructure
Landscape Design
Project Management
Legal
Insurances
Other</t>
        </r>
      </text>
    </comment>
    <comment ref="C33" authorId="0" shapeId="0" xr:uid="{4C5BAE86-5D81-4AE9-970C-111C66C6285D}">
      <text>
        <r>
          <rPr>
            <sz val="9"/>
            <color indexed="81"/>
            <rFont val="Tahoma"/>
            <family val="2"/>
          </rPr>
          <t>Subdivision Consent
Resource Consent
Building Consent
Development Contributions
Water Costs (WS/ WW/ SW)
224C</t>
        </r>
      </text>
    </comment>
    <comment ref="C38" authorId="0" shapeId="0" xr:uid="{E44D062D-4C4E-48EE-A84F-EEDE82D932C2}">
      <text>
        <r>
          <rPr>
            <sz val="9"/>
            <color indexed="81"/>
            <rFont val="Tahoma"/>
            <family val="2"/>
          </rPr>
          <t>In general, GST should be returned on all land sales and claimed on all land purchases unless the property is used for making exempt supplies (e.g., residential accommodation) or the transaction is zero-rated (i.e. charged with GST at 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<sst xmlns="http://schemas.openxmlformats.org/spreadsheetml/2006/main" count="405" uniqueCount="276">
  <si>
    <t>Landing Page</t>
  </si>
  <si>
    <t>Build to Lease (BL)</t>
  </si>
  <si>
    <t>Operating Supplement Calculator</t>
  </si>
  <si>
    <t>CHP</t>
  </si>
  <si>
    <t>Base Data</t>
  </si>
  <si>
    <t xml:space="preserve">Land </t>
  </si>
  <si>
    <t>Units Totals</t>
  </si>
  <si>
    <t>Balconys</t>
  </si>
  <si>
    <t>Stairs</t>
  </si>
  <si>
    <t>Other Common Areas</t>
  </si>
  <si>
    <t>Build Total</t>
  </si>
  <si>
    <t>Project Development Costs</t>
  </si>
  <si>
    <t>Site Civils &amp; Infrastructure</t>
  </si>
  <si>
    <t>Other Costs</t>
  </si>
  <si>
    <t>Total Development Costs</t>
  </si>
  <si>
    <t>"</t>
  </si>
  <si>
    <t>Occupancy Rate</t>
  </si>
  <si>
    <t>Rates</t>
  </si>
  <si>
    <t>Owner</t>
  </si>
  <si>
    <t>Insurance - Building</t>
  </si>
  <si>
    <t>Insurance - Chattels</t>
  </si>
  <si>
    <t>Water Charges</t>
  </si>
  <si>
    <t>Utility Charges</t>
  </si>
  <si>
    <t>Cleaning - External</t>
  </si>
  <si>
    <t>Maintenance - Structure</t>
  </si>
  <si>
    <t>Maintenance - Internal</t>
  </si>
  <si>
    <t>Maintenance - Grounds</t>
  </si>
  <si>
    <t>Tenancy Management</t>
  </si>
  <si>
    <t>Select</t>
  </si>
  <si>
    <t>Gross Rent</t>
  </si>
  <si>
    <t>Less: Vacancy Allowance (inc Bad Debts)</t>
  </si>
  <si>
    <t>Direct Costs</t>
  </si>
  <si>
    <t>Operating Supplement %</t>
  </si>
  <si>
    <t>Typology</t>
  </si>
  <si>
    <t>Insurance</t>
  </si>
  <si>
    <t xml:space="preserve">Tenancy Management (TM) Costs per unit </t>
  </si>
  <si>
    <t>Tenancy Manager Costs</t>
  </si>
  <si>
    <t>Total Direct TM Costs</t>
  </si>
  <si>
    <t>Direct TM Cost per unit</t>
  </si>
  <si>
    <t xml:space="preserve">A </t>
  </si>
  <si>
    <t xml:space="preserve"> </t>
  </si>
  <si>
    <t>Telecoms</t>
  </si>
  <si>
    <t>IT Costs</t>
  </si>
  <si>
    <t>HR Costs</t>
  </si>
  <si>
    <t>Office Rent</t>
  </si>
  <si>
    <t>Print &amp; Stationery</t>
  </si>
  <si>
    <t>Office Utilities</t>
  </si>
  <si>
    <t>Board Member Costs</t>
  </si>
  <si>
    <t xml:space="preserve">Consultants </t>
  </si>
  <si>
    <t>Legal</t>
  </si>
  <si>
    <t>Audit</t>
  </si>
  <si>
    <t>Other</t>
  </si>
  <si>
    <t>Total</t>
  </si>
  <si>
    <t>Total No of Units Managed</t>
  </si>
  <si>
    <t>B</t>
  </si>
  <si>
    <t>Total TM Cost per Unit</t>
  </si>
  <si>
    <t>C = A + B</t>
  </si>
  <si>
    <t>Auckland</t>
  </si>
  <si>
    <t>Project Type</t>
  </si>
  <si>
    <t>Project Address</t>
  </si>
  <si>
    <t xml:space="preserve">Operating Supplement </t>
  </si>
  <si>
    <t>Operating Supplement (%)</t>
  </si>
  <si>
    <t>Region</t>
  </si>
  <si>
    <t>&lt; ---- Select</t>
  </si>
  <si>
    <t>No</t>
  </si>
  <si>
    <t>Avg IRR</t>
  </si>
  <si>
    <t>Market Rent</t>
  </si>
  <si>
    <t>IRR %</t>
  </si>
  <si>
    <t>Bedroom</t>
  </si>
  <si>
    <t>1 brm</t>
  </si>
  <si>
    <t>Housing Region</t>
  </si>
  <si>
    <t>5+</t>
  </si>
  <si>
    <t>2 brm</t>
  </si>
  <si>
    <t>3 brm</t>
  </si>
  <si>
    <t>4 brm</t>
  </si>
  <si>
    <t>5+ brm</t>
  </si>
  <si>
    <t>Bay of Plenty</t>
  </si>
  <si>
    <t>Canterbury</t>
  </si>
  <si>
    <t>Central</t>
  </si>
  <si>
    <t>East Coast</t>
  </si>
  <si>
    <t>Northland</t>
  </si>
  <si>
    <t>Southern</t>
  </si>
  <si>
    <t>Taranaki</t>
  </si>
  <si>
    <t>Waikato</t>
  </si>
  <si>
    <t>Wellington</t>
  </si>
  <si>
    <t>West Coast Tasman</t>
  </si>
  <si>
    <t>Land</t>
  </si>
  <si>
    <t>Construction Costs</t>
  </si>
  <si>
    <t>Professional Fees</t>
  </si>
  <si>
    <t xml:space="preserve">                      </t>
  </si>
  <si>
    <t>Council Costs</t>
  </si>
  <si>
    <t>Developer's Margin</t>
  </si>
  <si>
    <t xml:space="preserve">Project Overheads </t>
  </si>
  <si>
    <t xml:space="preserve">Contingency </t>
  </si>
  <si>
    <t>Finance Cost</t>
  </si>
  <si>
    <t>GST</t>
  </si>
  <si>
    <t>Contract Term (HUD Funding):</t>
  </si>
  <si>
    <t>Total Cost ($)</t>
  </si>
  <si>
    <t>Cost/unit ($)</t>
  </si>
  <si>
    <t>[CHP Full Name]</t>
  </si>
  <si>
    <t>[Address]</t>
  </si>
  <si>
    <t>DD/MM/YYYY</t>
  </si>
  <si>
    <t>Version 4.0</t>
  </si>
  <si>
    <t>Select payer</t>
  </si>
  <si>
    <t>Project Details</t>
  </si>
  <si>
    <t>Units (#)</t>
  </si>
  <si>
    <t>1-Bedroom</t>
  </si>
  <si>
    <t>2-Bedroom</t>
  </si>
  <si>
    <t>3-Bedroom</t>
  </si>
  <si>
    <t>4-Bedroom</t>
  </si>
  <si>
    <t>5-Bedroom +</t>
  </si>
  <si>
    <t>Cost component</t>
  </si>
  <si>
    <t>Development Cost/Unit</t>
  </si>
  <si>
    <t>Operating and Lifecycle Costs</t>
  </si>
  <si>
    <t>Total Cost p.a.</t>
  </si>
  <si>
    <t>Lawns, garden, landscaping etc.</t>
  </si>
  <si>
    <t>Internal cleaning (inc. windows) between tenancies, pest control</t>
  </si>
  <si>
    <t>Cleaning - Internal</t>
  </si>
  <si>
    <t xml:space="preserve">Annual building wash </t>
  </si>
  <si>
    <t>Capital Replacement</t>
  </si>
  <si>
    <t>[Provide comment]</t>
  </si>
  <si>
    <t>Net Income</t>
  </si>
  <si>
    <t>Rental Income</t>
  </si>
  <si>
    <t>Total Expenditure</t>
  </si>
  <si>
    <t>Operating Supplement</t>
  </si>
  <si>
    <t>TM Cost Calculator - OPTIONAL</t>
  </si>
  <si>
    <t>Cost ($)</t>
  </si>
  <si>
    <t>Ratio (No of Units per 1x TM)</t>
  </si>
  <si>
    <t>Direct Costs (ACC, KS, Mobile, Car, etc.)</t>
  </si>
  <si>
    <t>Indirect Staff Costs: Administration/Managers</t>
  </si>
  <si>
    <t>Operating Expenses (excluding leases and property related expenses)</t>
  </si>
  <si>
    <t>Electricity, gas, other utilities paid by CHP (not tenant), e.g. communial areas</t>
  </si>
  <si>
    <t>Cost (% of Rent)</t>
  </si>
  <si>
    <t>Obligations must reflect Agreement to Lease</t>
  </si>
  <si>
    <t>e.g. Calculated based on current Council rates</t>
  </si>
  <si>
    <t>Refer to the 'TM Cost Calculatir' for guidance</t>
  </si>
  <si>
    <t>Instructions</t>
  </si>
  <si>
    <t>Comment/Explanation</t>
  </si>
  <si>
    <t>Guidance notes</t>
  </si>
  <si>
    <t>Lifts, walkways, voids, etc.</t>
  </si>
  <si>
    <t>All ground works (see note for details)</t>
  </si>
  <si>
    <t>The cost of constructing the building incl. builder's margin</t>
  </si>
  <si>
    <t>All professional fees payable to external consultants (see note for details)</t>
  </si>
  <si>
    <t>All fees payable directly to the council (see note for details)</t>
  </si>
  <si>
    <t>The cost of inhouse project managers</t>
  </si>
  <si>
    <t>CHP contingency in additional to contingencies in construction contracts</t>
  </si>
  <si>
    <t xml:space="preserve">Development facility origination fees and capitalised interest </t>
  </si>
  <si>
    <t>n/a</t>
  </si>
  <si>
    <t>For internal HUD purposes, please do not amend formulas</t>
  </si>
  <si>
    <t>Weekly Rent</t>
  </si>
  <si>
    <t>Final application must be supported by a rent appraisal (max 6 months old)</t>
  </si>
  <si>
    <t>Standard 15-day void provision included in Services Agreement (IRRS paid)</t>
  </si>
  <si>
    <t>Repair due to tenant damage, contamination and 'wear and tear' beyond 'fair'</t>
  </si>
  <si>
    <t>Costs expected minimal over the initial 10 years</t>
  </si>
  <si>
    <t>CHP must provide explanation if 'Other Costs' are budgeted for</t>
  </si>
  <si>
    <t>e.g. Estimate based on quote from insurance broker</t>
  </si>
  <si>
    <t>Total Annual Rent</t>
  </si>
  <si>
    <t>Total Operating and Lifecycle Costs</t>
  </si>
  <si>
    <t>Income</t>
  </si>
  <si>
    <t>Income &amp; Expenditure</t>
  </si>
  <si>
    <t>CHP Operating Surplus</t>
  </si>
  <si>
    <t>Land area corresponding to public housing development</t>
  </si>
  <si>
    <t>Current land market value of the land that is used for public housing</t>
  </si>
  <si>
    <t>External developers' margin</t>
  </si>
  <si>
    <t>No GST on land assumed (see note to the right for details &gt;&gt;&gt;)</t>
  </si>
  <si>
    <t>Planned maintenance to keep dwellings in good and weathertight condition (e.g. roof, structure)</t>
  </si>
  <si>
    <t>Operating Supplement Calculation (Annual)</t>
  </si>
  <si>
    <t>Per unit</t>
  </si>
  <si>
    <t>CHP's Cashflow (Inc. Contingency and Surplus)</t>
  </si>
  <si>
    <t>CHP Cost Contingency</t>
  </si>
  <si>
    <t>Build-to-Lease OS Calculator</t>
  </si>
  <si>
    <t>TM Cost Calculator</t>
  </si>
  <si>
    <t>For Applications for Funding under the Build to Lease (BL) delivery model only</t>
  </si>
  <si>
    <t>Optional: This sheet is designed to guide CHPs thorugh the calculation of per unit</t>
  </si>
  <si>
    <t xml:space="preserve">Tenancy Management costs </t>
  </si>
  <si>
    <t>Inputs</t>
  </si>
  <si>
    <t>Cells highlighted in yellow are input cells to be populated by the CHP</t>
  </si>
  <si>
    <t>Output cells contain formulas/output calculations and are locked</t>
  </si>
  <si>
    <t>Outputs</t>
  </si>
  <si>
    <t>Gross Floor Area (GFA) - the exclusive use living areas to be measured to: 
a. the external face of the external framing;
b. the centre line of shared walls and partitions;
c. the external face of framing shared with common areas, stairs and lifts.</t>
  </si>
  <si>
    <t>the property owner and the CHP</t>
  </si>
  <si>
    <t xml:space="preserve">Mandatory: This sheet calculates the Operating Supplement by spliting the costs between </t>
  </si>
  <si>
    <t>Cells</t>
  </si>
  <si>
    <t>Sheets</t>
  </si>
  <si>
    <t>Indicates sheet containining instructions</t>
  </si>
  <si>
    <t>Inputs/Outputs</t>
  </si>
  <si>
    <t>Indicates sheet containing inputs and calculations</t>
  </si>
  <si>
    <t>Sheets to be completed</t>
  </si>
  <si>
    <t>Carports</t>
  </si>
  <si>
    <t>% of CHP operating costs; 10% considered appropriate</t>
  </si>
  <si>
    <t>% of CHP operating costs; please note this is not a contingency</t>
  </si>
  <si>
    <t>Who pays for water</t>
  </si>
  <si>
    <t>Overhead Cost per Unit</t>
  </si>
  <si>
    <t>Nominal HUD Investment Value</t>
  </si>
  <si>
    <t>Public Housing Places</t>
  </si>
  <si>
    <t>Call Ups</t>
  </si>
  <si>
    <t>Total Appraised Annual Market Rent</t>
  </si>
  <si>
    <t>CCC Date</t>
  </si>
  <si>
    <t xml:space="preserve">Days </t>
  </si>
  <si>
    <t>Total Annual Market Rent at CCC</t>
  </si>
  <si>
    <t>IRRS (% of Market Rent)</t>
  </si>
  <si>
    <t>Contract Term</t>
  </si>
  <si>
    <t>Assumptions</t>
  </si>
  <si>
    <t>Rental Indexation</t>
  </si>
  <si>
    <t>Annual Cost to HUD</t>
  </si>
  <si>
    <t>IRRS</t>
  </si>
  <si>
    <t>Total Cost to HUD (index from CCC only)</t>
  </si>
  <si>
    <t>Total Cost to HUD (index from funding approval)</t>
  </si>
  <si>
    <t>Development Phase</t>
  </si>
  <si>
    <t>NZ$ impact due to indexation</t>
  </si>
  <si>
    <t xml:space="preserve">Increase due to indexation </t>
  </si>
  <si>
    <t>Build to Lease</t>
  </si>
  <si>
    <t>Start Indexation Date (Est. Funding Approval Date)</t>
  </si>
  <si>
    <r>
      <t>Area/Unit (m</t>
    </r>
    <r>
      <rPr>
        <b/>
        <vertAlign val="superscript"/>
        <sz val="11"/>
        <rFont val="Calibri"/>
        <family val="2"/>
        <scheme val="minor"/>
      </rPr>
      <t>2</t>
    </r>
    <r>
      <rPr>
        <b/>
        <sz val="11"/>
        <rFont val="Calibri"/>
        <family val="2"/>
        <scheme val="minor"/>
      </rPr>
      <t>)</t>
    </r>
  </si>
  <si>
    <r>
      <t>Total Area (m</t>
    </r>
    <r>
      <rPr>
        <b/>
        <vertAlign val="superscript"/>
        <sz val="11"/>
        <rFont val="Calibri"/>
        <family val="2"/>
        <scheme val="minor"/>
      </rPr>
      <t>2</t>
    </r>
    <r>
      <rPr>
        <b/>
        <sz val="11"/>
        <rFont val="Calibri"/>
        <family val="2"/>
        <scheme val="minor"/>
      </rPr>
      <t>)</t>
    </r>
  </si>
  <si>
    <r>
      <t>m</t>
    </r>
    <r>
      <rPr>
        <b/>
        <vertAlign val="superscript"/>
        <sz val="11"/>
        <rFont val="Calibri"/>
        <family val="2"/>
        <scheme val="minor"/>
      </rPr>
      <t>2</t>
    </r>
    <r>
      <rPr>
        <b/>
        <sz val="11"/>
        <rFont val="Calibri"/>
        <family val="2"/>
        <scheme val="minor"/>
      </rPr>
      <t>/ %</t>
    </r>
  </si>
  <si>
    <r>
      <t>Cost/m</t>
    </r>
    <r>
      <rPr>
        <b/>
        <vertAlign val="superscript"/>
        <sz val="11"/>
        <rFont val="Calibri"/>
        <family val="2"/>
        <scheme val="minor"/>
      </rPr>
      <t>2</t>
    </r>
  </si>
  <si>
    <r>
      <t>Area (m</t>
    </r>
    <r>
      <rPr>
        <b/>
        <vertAlign val="superscript"/>
        <sz val="11"/>
        <rFont val="Calibri"/>
        <family val="2"/>
        <scheme val="minor"/>
      </rPr>
      <t>2</t>
    </r>
    <r>
      <rPr>
        <b/>
        <sz val="11"/>
        <rFont val="Calibri"/>
        <family val="2"/>
        <scheme val="minor"/>
      </rPr>
      <t>)</t>
    </r>
  </si>
  <si>
    <r>
      <t>Cost/m</t>
    </r>
    <r>
      <rPr>
        <b/>
        <vertAlign val="superscript"/>
        <sz val="11"/>
        <rFont val="Calibri"/>
        <family val="2"/>
        <scheme val="minor"/>
      </rPr>
      <t>2</t>
    </r>
    <r>
      <rPr>
        <b/>
        <sz val="11"/>
        <rFont val="Calibri"/>
        <family val="2"/>
        <scheme val="minor"/>
      </rPr>
      <t xml:space="preserve"> ($)</t>
    </r>
  </si>
  <si>
    <r>
      <t xml:space="preserve">Overheads </t>
    </r>
    <r>
      <rPr>
        <sz val="11"/>
        <color theme="1"/>
        <rFont val="Calibri"/>
        <family val="2"/>
        <scheme val="minor"/>
      </rPr>
      <t>(relating to public housing; from latest annual financial statements)</t>
    </r>
  </si>
  <si>
    <r>
      <t>Disclaimer</t>
    </r>
    <r>
      <rPr>
        <sz val="14"/>
        <color theme="0"/>
        <rFont val="Calibri"/>
        <family val="2"/>
      </rPr>
      <t xml:space="preserve"> </t>
    </r>
    <r>
      <rPr>
        <b/>
        <sz val="14"/>
        <color theme="0"/>
        <rFont val="Calibri"/>
        <family val="2"/>
      </rPr>
      <t xml:space="preserve">
This financial model is provided to you strictly on the basis that it is for Te Tūāpapa Kura Kāinga – Ministry of Housing and Urban Development's internal assessment purposes only and must not be relied upon by you or any other recipient in any way or for any purpose.  You must make your own independent financial assessment and due diligence and satisfy yourself as to all and any matters relevant to the public housing project you are submitting a funding application for.</t>
    </r>
  </si>
  <si>
    <t>Application Date</t>
  </si>
  <si>
    <t>Date of data extract from MSD:</t>
  </si>
  <si>
    <t xml:space="preserve">4-year moving ave to </t>
  </si>
  <si>
    <t>Fields for which to populate benchmarks (column D) for</t>
  </si>
  <si>
    <t>-&gt; hide irrelevant rows for Weekly Rent and Weekly OS before copying into memo</t>
  </si>
  <si>
    <t>Annual Cost to HUD per Typology</t>
  </si>
  <si>
    <t>Financial Summary</t>
  </si>
  <si>
    <t>vs. Sample Average</t>
  </si>
  <si>
    <t>Commentary</t>
  </si>
  <si>
    <t>Build to Own/Turnkey</t>
  </si>
  <si>
    <t>Contract Term (years)</t>
  </si>
  <si>
    <t>-</t>
  </si>
  <si>
    <t>Project
(With Upfront)</t>
  </si>
  <si>
    <t>Project
(Without Upfront)</t>
  </si>
  <si>
    <t>Benchmark (With Upfront)</t>
  </si>
  <si>
    <t>Variance
(With Upfront)</t>
  </si>
  <si>
    <t>Variance
(Without Upfront)</t>
  </si>
  <si>
    <t>Number of projects in Typology Sample</t>
  </si>
  <si>
    <t>Total No. of Units</t>
  </si>
  <si>
    <t>&gt;&gt; Paste values</t>
  </si>
  <si>
    <t>1 Brm</t>
  </si>
  <si>
    <t>No Upfront</t>
  </si>
  <si>
    <t>2 Brm</t>
  </si>
  <si>
    <t>Weekly Rent, Year 1 ($)</t>
  </si>
  <si>
    <t>3 Brm</t>
  </si>
  <si>
    <t/>
  </si>
  <si>
    <t>4 Brm</t>
  </si>
  <si>
    <t>5+ Brm</t>
  </si>
  <si>
    <t>Weekly OS, Year 1 ($)</t>
  </si>
  <si>
    <t>Construction Cost per sqm ($)</t>
  </si>
  <si>
    <t>Total Cost to Build per sqm ($)</t>
  </si>
  <si>
    <t>Sample size:</t>
  </si>
  <si>
    <t>HUD Investment Value</t>
  </si>
  <si>
    <t>Total HUD Investment Value, Indexed</t>
  </si>
  <si>
    <t>Avg. Annual Cost to HUD per place (no indexation)</t>
  </si>
  <si>
    <r>
      <rPr>
        <vertAlign val="superscript"/>
        <sz val="11"/>
        <color theme="1"/>
        <rFont val="Arial Mäori"/>
      </rPr>
      <t>(ii)</t>
    </r>
    <r>
      <rPr>
        <sz val="11"/>
        <color theme="1"/>
        <rFont val="Arial Mäori"/>
        <family val="2"/>
      </rPr>
      <t xml:space="preserve">  </t>
    </r>
    <r>
      <rPr>
        <sz val="9"/>
        <color theme="1"/>
        <rFont val="Arial Mäori"/>
      </rPr>
      <t>Using the weighted average OS rate, excluding indexation</t>
    </r>
  </si>
  <si>
    <r>
      <t xml:space="preserve">Total HUD Investment Value ($, million) </t>
    </r>
    <r>
      <rPr>
        <vertAlign val="superscript"/>
        <sz val="11"/>
        <color theme="1"/>
        <rFont val="Arial"/>
        <family val="2"/>
      </rPr>
      <t>(i)</t>
    </r>
  </si>
  <si>
    <r>
      <rPr>
        <vertAlign val="superscript"/>
        <sz val="11"/>
        <color theme="1"/>
        <rFont val="Arial Mäori"/>
      </rPr>
      <t>(i)</t>
    </r>
    <r>
      <rPr>
        <sz val="11"/>
        <color theme="1"/>
        <rFont val="Arial Mäori"/>
        <family val="2"/>
      </rPr>
      <t xml:space="preserve">  </t>
    </r>
    <r>
      <rPr>
        <sz val="9"/>
        <color theme="1"/>
        <rFont val="Arial Mäori"/>
      </rPr>
      <t>Indexed at 2%</t>
    </r>
  </si>
  <si>
    <r>
      <t xml:space="preserve">Avg. Annual Cost to HUD ($) </t>
    </r>
    <r>
      <rPr>
        <vertAlign val="superscript"/>
        <sz val="11"/>
        <color theme="1"/>
        <rFont val="Arial"/>
        <family val="2"/>
      </rPr>
      <t>(ii)</t>
    </r>
  </si>
  <si>
    <t>Repairs and Maintenance</t>
  </si>
  <si>
    <t>Expenses(BM purposes)</t>
  </si>
  <si>
    <t>Utility</t>
  </si>
  <si>
    <t>Other Expenses</t>
  </si>
  <si>
    <t>Expenses(for BM purposes)</t>
  </si>
  <si>
    <t>x</t>
  </si>
  <si>
    <t>y</t>
  </si>
  <si>
    <t>Row Labels</t>
  </si>
  <si>
    <t>Grand Total</t>
  </si>
  <si>
    <t>Totals</t>
  </si>
  <si>
    <t>Per unit cost</t>
  </si>
  <si>
    <t>Owner cost</t>
  </si>
  <si>
    <t xml:space="preserve"> CHP cost</t>
  </si>
  <si>
    <t>Other expenses</t>
  </si>
  <si>
    <t>Vacancy</t>
  </si>
  <si>
    <t>Year 1 cost to HUD per place (no precom indexation)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</si>
</sst>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5" formatCode="&quot;$&quot;#,##0;\-&quot;$&quot;#,##0"/>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_-&quot;$&quot;* #,##0_-;\-&quot;$&quot;* #,##0_-;_-&quot;$&quot;* &quot;-&quot;??_-;_-@_-"/>
    <numFmt numFmtId="168" formatCode="_-* #,##0_-;\-* #,##0_-;_-* &quot;-&quot;??_-;_-@_-"/>
    <numFmt numFmtId="169" formatCode="0.0%"/>
    <numFmt numFmtId="170" formatCode="&quot;$&quot;#,##0"/>
    <numFmt numFmtId="171" formatCode="0.0"/>
    <numFmt numFmtId="172" formatCode="[$-409]dd\-mmm\-yy;@"/>
    <numFmt numFmtId="173" formatCode="_(&quot;$&quot;#,##0.0_);\(&quot;$&quot;#,##0.0\);_(&quot;-&quot;_)"/>
    <numFmt numFmtId="174" formatCode="_)d\-mmm\-yy_);_)d\-mmm\-yy_);_)&quot;-&quot;_)"/>
    <numFmt numFmtId="175" formatCode="_(#,##0.0\x_);\(#,##0.0\x\);_(&quot;-&quot;_)"/>
    <numFmt numFmtId="176" formatCode="_(#,##0.0_);\(#,##0.0\);_(&quot;-&quot;_)"/>
    <numFmt numFmtId="177" formatCode="_(#,##0.0%_);\(#,##0.0%\);_(&quot;-&quot;_)"/>
    <numFmt numFmtId="178" formatCode="_(###0_);\(###0\);_(&quot;-&quot;_)"/>
    <numFmt numFmtId="179" formatCode="_(* #,##0.0_);_(* \(#,##0.0\);_(* &quot;-&quot;?_);@_)"/>
    <numFmt numFmtId="180" formatCode="_-* #,##0_-;\-\ #,##0_-;_-* &quot;-&quot;??_-;_-@_-"/>
    <numFmt numFmtId="181" formatCode="_-* #,##0.0_-;\-\ #,##0.0_-;_-* &quot;-&quot;??_-;_-@_-"/>
    <numFmt numFmtId="182" formatCode="_-* #,##0.00_-;\-\ #,##0.00_-;_-* &quot;-&quot;??_-;_-@_-"/>
    <numFmt numFmtId="183" formatCode="_-* #,##0.000_-;\-\ #,##0.000_-;_-* &quot;-&quot;??_-;_-@_-"/>
    <numFmt numFmtId="184" formatCode="d\ mmm"/>
    <numFmt numFmtId="185" formatCode="d\ mmm\ yyyy"/>
    <numFmt numFmtId="186" formatCode="mmm\ yy"/>
    <numFmt numFmtId="187" formatCode="#,##0\ ;\(#,##0\);\-\ "/>
    <numFmt numFmtId="188" formatCode="#,##0%;\-\ #,##0%;_-* &quot;-&quot;??_-;_-@_-"/>
    <numFmt numFmtId="189" formatCode="#,##0.0%;\-\ #,##0.0%;_-* &quot;-&quot;??_-;_-@_-"/>
    <numFmt numFmtId="190" formatCode="#,##0.00%;\-\ #,##0.00%;_-* &quot;-&quot;??_-;_-@_-"/>
    <numFmt numFmtId="191" formatCode="#,##0.0"/>
    <numFmt numFmtId="192" formatCode="#,##0;\(#,##0\)"/>
    <numFmt numFmtId="193" formatCode="_(#,##0_);\(#,##0\);_(#,##0_)"/>
    <numFmt numFmtId="194" formatCode="_-* #,##0\ _P_t_s_-;\-* #,##0\ _P_t_s_-;_-* &quot;-&quot;\ _P_t_s_-;_-@_-"/>
    <numFmt numFmtId="195" formatCode="_-* #,##0.00\ _P_t_s_-;\-* #,##0.00\ _P_t_s_-;_-* &quot;-&quot;??\ _P_t_s_-;_-@_-"/>
    <numFmt numFmtId="196" formatCode="_-* #,##0\ &quot;Pts&quot;_-;\-* #,##0\ &quot;Pts&quot;_-;_-* &quot;-&quot;\ &quot;Pts&quot;_-;_-@_-"/>
    <numFmt numFmtId="197" formatCode="_-* #,##0.00\ &quot;Pts&quot;_-;\-* #,##0.00\ &quot;Pts&quot;_-;_-* &quot;-&quot;??\ &quot;Pts&quot;_-;_-@_-"/>
    <numFmt numFmtId="198" formatCode="0.00_)"/>
    <numFmt numFmtId="199" formatCode="#,##0_);\(#,##0\);\-_)"/>
    <numFmt numFmtId="200" formatCode="#,##0;[Red]\(#,##0\);&quot;-&quot;"/>
    <numFmt numFmtId="201" formatCode="_-* #,##0_-;[Red]_-\(#,##0\)_-;_-* &quot;-&quot;??_-;_-@_-"/>
    <numFmt numFmtId="202" formatCode="dd\-mmm\-yy"/>
    <numFmt numFmtId="203" formatCode="_-* #,##0.0_-;\-* #,##0.0_-;_-* &quot;-&quot;??_-;_-@_-"/>
    <numFmt numFmtId="204" formatCode="&quot;$&quot;#0.#0,,"/>
    <numFmt numFmtId="205" formatCode="&quot;$&quot;#,##0;[Red]&quot;$&quot;#,##0"/>
  </numFmts>
  <fonts count="93">
    <font>
      <sz val="11"/>
      <color theme="1"/>
      <name val="Arial Mäo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Mäori"/>
      <family val="2"/>
    </font>
    <font>
      <sz val="10"/>
      <name val="Arial"/>
      <family val="2"/>
    </font>
    <font>
      <u/>
      <sz val="10"/>
      <color theme="10"/>
      <name val="Arial"/>
      <family val="2"/>
    </font>
    <font>
      <b/>
      <sz val="10"/>
      <name val="Arial"/>
      <family val="2"/>
    </font>
    <font>
      <sz val="10"/>
      <color theme="1"/>
      <name val="Arial"/>
      <family val="2"/>
    </font>
    <font>
      <sz val="11"/>
      <color theme="1"/>
      <name val="Calibri"/>
      <family val="2"/>
      <scheme val="minor"/>
    </font>
    <font>
      <sz val="10"/>
      <color indexed="8"/>
      <name val="Arial"/>
      <family val="2"/>
    </font>
    <font>
      <sz val="9"/>
      <color indexed="81"/>
      <name val="Tahoma"/>
      <family val="2"/>
    </font>
    <font>
      <b/>
      <sz val="9"/>
      <color indexed="81"/>
      <name val="Tahoma"/>
      <family val="2"/>
    </font>
    <font>
      <i/>
      <sz val="10"/>
      <name val="Arial"/>
      <family val="2"/>
    </font>
    <font>
      <u/>
      <sz val="10"/>
      <color indexed="12"/>
      <name val="Arial"/>
      <family val="2"/>
    </font>
    <font>
      <b/>
      <i/>
      <sz val="10"/>
      <name val="Times New Roman"/>
      <family val="1"/>
    </font>
    <font>
      <u/>
      <sz val="10"/>
      <color indexed="36"/>
      <name val="Arial"/>
      <family val="2"/>
    </font>
    <font>
      <sz val="11"/>
      <color theme="1" tint="0.34998626667073579"/>
      <name val="Calibri"/>
      <family val="2"/>
      <scheme val="minor"/>
    </font>
    <font>
      <sz val="8"/>
      <name val="Tahoma"/>
      <family val="2"/>
    </font>
    <font>
      <b/>
      <sz val="8"/>
      <color indexed="24"/>
      <name val="Arial"/>
      <family val="2"/>
    </font>
    <font>
      <sz val="9"/>
      <name val="Arial"/>
      <family val="2"/>
    </font>
    <font>
      <sz val="8"/>
      <name val="Arial"/>
      <family val="2"/>
    </font>
    <font>
      <b/>
      <sz val="9"/>
      <color indexed="24"/>
      <name val="Arial"/>
      <family val="2"/>
    </font>
    <font>
      <b/>
      <sz val="11"/>
      <color indexed="24"/>
      <name val="Arial"/>
      <family val="2"/>
    </font>
    <font>
      <sz val="11"/>
      <name val="Arial"/>
      <family val="2"/>
    </font>
    <font>
      <b/>
      <sz val="9"/>
      <color indexed="9"/>
      <name val="Calibri"/>
      <family val="2"/>
    </font>
    <font>
      <sz val="8"/>
      <name val="Century Gothic"/>
      <family val="2"/>
    </font>
    <font>
      <b/>
      <sz val="8"/>
      <name val="Arial"/>
      <family val="2"/>
    </font>
    <font>
      <u/>
      <sz val="10"/>
      <name val="Arial"/>
      <family val="2"/>
    </font>
    <font>
      <b/>
      <sz val="14"/>
      <color theme="0"/>
      <name val="Calibri"/>
      <family val="2"/>
      <scheme val="minor"/>
    </font>
    <font>
      <b/>
      <sz val="10"/>
      <name val="Tahoma"/>
      <family val="2"/>
    </font>
    <font>
      <b/>
      <sz val="9"/>
      <name val="Tahoma"/>
      <family val="2"/>
    </font>
    <font>
      <b/>
      <sz val="8"/>
      <name val="Tahoma"/>
      <family val="2"/>
    </font>
    <font>
      <b/>
      <sz val="10"/>
      <color indexed="56"/>
      <name val="Wingdings"/>
      <charset val="2"/>
    </font>
    <font>
      <b/>
      <u/>
      <sz val="8"/>
      <color indexed="56"/>
      <name val="Tahoma"/>
      <family val="2"/>
    </font>
    <font>
      <b/>
      <u/>
      <sz val="10"/>
      <color indexed="56"/>
      <name val="Tahoma"/>
      <family val="2"/>
    </font>
    <font>
      <b/>
      <u/>
      <sz val="9"/>
      <color indexed="56"/>
      <name val="Tahoma"/>
      <family val="2"/>
    </font>
    <font>
      <sz val="8"/>
      <color indexed="56"/>
      <name val="Tahoma"/>
      <family val="2"/>
    </font>
    <font>
      <sz val="10"/>
      <name val="Helv"/>
    </font>
    <font>
      <sz val="10"/>
      <color indexed="12"/>
      <name val="Helv"/>
    </font>
    <font>
      <sz val="11"/>
      <color indexed="24"/>
      <name val="Arial"/>
      <family val="2"/>
    </font>
    <font>
      <sz val="11"/>
      <color rgb="FF3F3F76"/>
      <name val="Calibri"/>
      <family val="2"/>
      <scheme val="minor"/>
    </font>
    <font>
      <i/>
      <sz val="8"/>
      <color indexed="62"/>
      <name val="Arial"/>
      <family val="2"/>
    </font>
    <font>
      <b/>
      <sz val="11"/>
      <color theme="0"/>
      <name val="Calibri"/>
      <family val="2"/>
      <scheme val="minor"/>
    </font>
    <font>
      <b/>
      <sz val="12"/>
      <name val="Tahoma"/>
      <family val="2"/>
    </font>
    <font>
      <b/>
      <i/>
      <sz val="16"/>
      <name val="Helv"/>
    </font>
    <font>
      <sz val="12"/>
      <name val="Arial MT"/>
    </font>
    <font>
      <b/>
      <sz val="13"/>
      <name val="Tahoma"/>
      <family val="2"/>
    </font>
    <font>
      <b/>
      <sz val="14"/>
      <name val="Tahoma"/>
      <family val="2"/>
    </font>
    <font>
      <i/>
      <sz val="11"/>
      <color theme="0" tint="-0.34998626667073579"/>
      <name val="Calibri"/>
      <family val="2"/>
      <scheme val="minor"/>
    </font>
    <font>
      <sz val="9"/>
      <name val="Geneva"/>
    </font>
    <font>
      <b/>
      <sz val="10"/>
      <color indexed="31"/>
      <name val="Arial"/>
      <family val="2"/>
    </font>
    <font>
      <sz val="8"/>
      <color indexed="9"/>
      <name val="Arial"/>
      <family val="2"/>
    </font>
    <font>
      <b/>
      <sz val="12"/>
      <color indexed="45"/>
      <name val="Arial"/>
      <family val="2"/>
    </font>
    <font>
      <sz val="11"/>
      <color theme="1"/>
      <name val="Arial"/>
      <family val="2"/>
    </font>
    <font>
      <b/>
      <sz val="11"/>
      <color theme="1"/>
      <name val="Arial"/>
      <family val="2"/>
    </font>
    <font>
      <b/>
      <sz val="11"/>
      <color theme="1"/>
      <name val="Calibri"/>
      <family val="2"/>
      <scheme val="minor"/>
    </font>
    <font>
      <i/>
      <sz val="11"/>
      <color theme="1"/>
      <name val="Arial"/>
      <family val="2"/>
    </font>
    <font>
      <sz val="11"/>
      <color theme="0"/>
      <name val="Arial"/>
      <family val="2"/>
    </font>
    <font>
      <b/>
      <u/>
      <sz val="11"/>
      <color theme="1"/>
      <name val="Arial"/>
      <family val="2"/>
    </font>
    <font>
      <b/>
      <sz val="11"/>
      <color theme="0"/>
      <name val="Arial"/>
      <family val="2"/>
    </font>
    <font>
      <u/>
      <sz val="10"/>
      <color theme="0"/>
      <name val="Arial"/>
      <family val="2"/>
    </font>
    <font>
      <b/>
      <sz val="11"/>
      <color theme="4"/>
      <name val="Calibri"/>
      <family val="2"/>
      <scheme val="minor"/>
    </font>
    <font>
      <sz val="11"/>
      <name val="Calibri"/>
      <family val="2"/>
      <scheme val="minor"/>
    </font>
    <font>
      <b/>
      <sz val="11"/>
      <name val="Calibri"/>
      <family val="2"/>
      <scheme val="minor"/>
    </font>
    <font>
      <u/>
      <sz val="11"/>
      <color theme="10"/>
      <name val="Calibri"/>
      <family val="2"/>
      <scheme val="minor"/>
    </font>
    <font>
      <sz val="11"/>
      <color rgb="FF003E52"/>
      <name val="Calibri"/>
      <family val="2"/>
      <scheme val="minor"/>
    </font>
    <font>
      <sz val="11"/>
      <color theme="0" tint="-0.14999847407452621"/>
      <name val="Calibri"/>
      <family val="2"/>
      <scheme val="minor"/>
    </font>
    <font>
      <b/>
      <vertAlign val="superscript"/>
      <sz val="11"/>
      <name val="Calibri"/>
      <family val="2"/>
      <scheme val="minor"/>
    </font>
    <font>
      <b/>
      <i/>
      <sz val="11"/>
      <name val="Calibri"/>
      <family val="2"/>
      <scheme val="minor"/>
    </font>
    <font>
      <i/>
      <sz val="11"/>
      <color theme="1"/>
      <name val="Calibri"/>
      <family val="2"/>
      <scheme val="minor"/>
    </font>
    <font>
      <i/>
      <sz val="11"/>
      <name val="Calibri"/>
      <family val="2"/>
      <scheme val="minor"/>
    </font>
    <font>
      <sz val="11"/>
      <color indexed="17"/>
      <name val="Calibri"/>
      <family val="2"/>
      <scheme val="minor"/>
    </font>
    <font>
      <b/>
      <sz val="11"/>
      <color indexed="10"/>
      <name val="Calibri"/>
      <family val="2"/>
      <scheme val="minor"/>
    </font>
    <font>
      <b/>
      <sz val="14"/>
      <color rgb="FF000000"/>
      <name val="Calibri"/>
      <family val="2"/>
    </font>
    <font>
      <b/>
      <sz val="14"/>
      <color theme="0"/>
      <name val="Calibri"/>
      <family val="2"/>
    </font>
    <font>
      <sz val="14"/>
      <color theme="0"/>
      <name val="Calibri"/>
      <family val="2"/>
    </font>
    <font>
      <sz val="11"/>
      <color rgb="FF000000"/>
      <name val="Arial Mäori"/>
    </font>
    <font>
      <b/>
      <sz val="11"/>
      <name val="Arial Mäori"/>
    </font>
    <font>
      <sz val="11"/>
      <color rgb="FFFF0000"/>
      <name val="Arial Mäori"/>
      <family val="2"/>
    </font>
    <font>
      <b/>
      <sz val="11"/>
      <color rgb="FF000000"/>
      <name val="Calibri"/>
      <family val="2"/>
    </font>
    <font>
      <sz val="11"/>
      <color theme="1"/>
      <name val="Calibri"/>
      <family val="2"/>
    </font>
    <font>
      <sz val="11"/>
      <name val="Calibri"/>
      <family val="2"/>
    </font>
    <font>
      <vertAlign val="superscript"/>
      <sz val="11"/>
      <color theme="1"/>
      <name val="Arial"/>
      <family val="2"/>
    </font>
    <font>
      <i/>
      <sz val="9"/>
      <color theme="1"/>
      <name val="Arial Mäori"/>
    </font>
    <font>
      <sz val="11"/>
      <color theme="1"/>
      <name val="Arial Mäori"/>
    </font>
    <font>
      <vertAlign val="superscript"/>
      <sz val="11"/>
      <color theme="1"/>
      <name val="Arial Mäori"/>
    </font>
    <font>
      <sz val="9"/>
      <color theme="1"/>
      <name val="Arial Mäori"/>
    </font>
    <font>
      <sz val="11"/>
      <color theme="0"/>
      <name val="Calibri"/>
      <family val="2"/>
      <scheme val="minor"/>
    </font>
    <font>
      <sz val="11"/>
      <color theme="1" tint="0.249977111117893"/>
      <name val="Arial Mäori"/>
      <family val="2"/>
    </font>
    <font>
      <b/>
      <sz val="11"/>
      <color theme="1" tint="0.249977111117893"/>
      <name val="Arial Mäori"/>
      <family val="2"/>
    </font>
    <font>
      <sz val="11"/>
      <color theme="0" tint="-4.9989318521683403E-2"/>
      <name val="Calibri"/>
      <family val="2"/>
      <scheme val="minor"/>
    </font>
  </fonts>
  <fills count="26">
    <fill>
      <patternFill patternType="none"/>
    </fill>
    <fill>
      <patternFill patternType="gray125"/>
    </fill>
    <fill>
      <patternFill patternType="solid">
        <fgColor rgb="FFFFCC99"/>
      </patternFill>
    </fill>
    <fill>
      <patternFill patternType="solid">
        <fgColor rgb="FFFFC000"/>
        <bgColor indexed="64"/>
      </patternFill>
    </fill>
    <fill>
      <patternFill patternType="solid">
        <fgColor theme="0"/>
        <bgColor indexed="64"/>
      </patternFill>
    </fill>
    <fill>
      <patternFill patternType="solid">
        <fgColor rgb="FFFFEAAF"/>
        <bgColor indexed="64"/>
      </patternFill>
    </fill>
    <fill>
      <patternFill patternType="solid">
        <fgColor indexed="55"/>
      </patternFill>
    </fill>
    <fill>
      <patternFill patternType="solid">
        <fgColor indexed="22"/>
        <bgColor indexed="64"/>
      </patternFill>
    </fill>
    <fill>
      <patternFill patternType="solid">
        <fgColor rgb="FF0091DA"/>
        <bgColor indexed="64"/>
      </patternFill>
    </fill>
    <fill>
      <patternFill patternType="solid">
        <fgColor indexed="39"/>
        <bgColor indexed="64"/>
      </patternFill>
    </fill>
    <fill>
      <patternFill patternType="solid">
        <fgColor indexed="43"/>
        <bgColor indexed="64"/>
      </patternFill>
    </fill>
    <fill>
      <patternFill patternType="mediumGray">
        <fgColor indexed="13"/>
      </patternFill>
    </fill>
    <fill>
      <patternFill patternType="solid">
        <fgColor indexed="26"/>
        <bgColor indexed="64"/>
      </patternFill>
    </fill>
    <fill>
      <patternFill patternType="solid">
        <fgColor indexed="46"/>
        <bgColor indexed="64"/>
      </patternFill>
    </fill>
    <fill>
      <patternFill patternType="solid">
        <fgColor indexed="9"/>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rgb="FFFFF5C9"/>
        <bgColor indexed="64"/>
      </patternFill>
    </fill>
    <fill>
      <patternFill patternType="solid">
        <fgColor rgb="FF003E52"/>
        <bgColor indexed="64"/>
      </patternFill>
    </fill>
    <fill>
      <patternFill patternType="solid">
        <fgColor rgb="FFFFCC00"/>
        <bgColor indexed="64"/>
      </patternFill>
    </fill>
    <fill>
      <patternFill patternType="solid">
        <fgColor rgb="FFFCECDA"/>
        <bgColor rgb="FF000000"/>
      </patternFill>
    </fill>
    <fill>
      <patternFill patternType="solid">
        <fgColor rgb="FFFFC000"/>
        <bgColor rgb="FF000000"/>
      </patternFill>
    </fill>
    <fill>
      <patternFill patternType="solid">
        <fgColor rgb="FFFFFF00"/>
        <bgColor indexed="64"/>
      </patternFill>
    </fill>
    <fill>
      <patternFill patternType="solid">
        <fgColor theme="4" tint="0.79998168889431442"/>
        <bgColor indexed="64"/>
      </patternFill>
    </fill>
    <fill>
      <patternFill patternType="solid">
        <fgColor rgb="FFD9D9D9"/>
        <bgColor rgb="FF000000"/>
      </patternFill>
    </fill>
    <fill>
      <patternFill patternType="solid">
        <fgColor theme="6" tint="0.79998168889431442"/>
        <bgColor indexed="64"/>
      </patternFill>
    </fill>
  </fills>
  <borders count="32">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style="thin">
        <color indexed="18"/>
      </left>
      <right style="thin">
        <color indexed="18"/>
      </right>
      <top style="thin">
        <color indexed="18"/>
      </top>
      <bottom style="thin">
        <color indexed="18"/>
      </bottom>
      <diagonal/>
    </border>
    <border>
      <left/>
      <right/>
      <top/>
      <bottom style="medium">
        <color indexed="24"/>
      </bottom>
      <diagonal/>
    </border>
    <border>
      <left style="dashed">
        <color indexed="63"/>
      </left>
      <right style="dashed">
        <color indexed="63"/>
      </right>
      <top style="dashed">
        <color indexed="63"/>
      </top>
      <bottom style="dashed">
        <color indexed="63"/>
      </bottom>
      <diagonal/>
    </border>
    <border>
      <left style="double">
        <color indexed="63"/>
      </left>
      <right style="double">
        <color indexed="63"/>
      </right>
      <top style="double">
        <color indexed="63"/>
      </top>
      <bottom style="double">
        <color indexed="63"/>
      </bottom>
      <diagonal/>
    </border>
    <border>
      <left style="hair">
        <color indexed="8"/>
      </left>
      <right style="hair">
        <color indexed="8"/>
      </right>
      <top style="hair">
        <color indexed="8"/>
      </top>
      <bottom style="hair">
        <color indexed="8"/>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dashed">
        <color indexed="28"/>
      </left>
      <right style="dashed">
        <color indexed="28"/>
      </right>
      <top style="dashed">
        <color indexed="28"/>
      </top>
      <bottom style="dashed">
        <color indexed="28"/>
      </bottom>
      <diagonal/>
    </border>
    <border>
      <left/>
      <right/>
      <top style="hair">
        <color indexed="8"/>
      </top>
      <bottom style="hair">
        <color indexed="8"/>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31"/>
      </left>
      <right style="thin">
        <color indexed="31"/>
      </right>
      <top style="thin">
        <color indexed="31"/>
      </top>
      <bottom style="thin">
        <color indexed="31"/>
      </bottom>
      <diagonal/>
    </border>
    <border>
      <left/>
      <right/>
      <top style="thin">
        <color indexed="64"/>
      </top>
      <bottom style="double">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242">
    <xf numFmtId="0" fontId="0" fillId="0" borderId="0"/>
    <xf numFmtId="43" fontId="5" fillId="0" borderId="0" applyFont="0" applyFill="0" applyBorder="0" applyAlignment="0" applyProtection="0"/>
    <xf numFmtId="9" fontId="5" fillId="0" borderId="0" applyFont="0" applyFill="0" applyBorder="0" applyAlignment="0" applyProtection="0"/>
    <xf numFmtId="0" fontId="6" fillId="0" borderId="0"/>
    <xf numFmtId="0" fontId="7" fillId="0" borderId="0" applyNumberFormat="0" applyFill="0" applyBorder="0" applyAlignment="0" applyProtection="0"/>
    <xf numFmtId="9" fontId="6" fillId="0" borderId="0" applyFont="0" applyFill="0" applyBorder="0" applyAlignment="0" applyProtection="0"/>
    <xf numFmtId="0" fontId="10" fillId="0" borderId="0"/>
    <xf numFmtId="44" fontId="6"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43" fontId="6" fillId="0" borderId="0" applyFont="0" applyFill="0" applyBorder="0" applyAlignment="0" applyProtection="0"/>
    <xf numFmtId="0" fontId="15" fillId="0" borderId="0" applyNumberFormat="0" applyFill="0" applyBorder="0" applyAlignment="0" applyProtection="0">
      <alignment vertical="top"/>
      <protection locked="0"/>
    </xf>
    <xf numFmtId="0" fontId="11" fillId="0" borderId="0"/>
    <xf numFmtId="0" fontId="16" fillId="0" borderId="0">
      <alignment horizontal="left"/>
    </xf>
    <xf numFmtId="165" fontId="6" fillId="0" borderId="0" applyFont="0" applyFill="0" applyBorder="0" applyAlignment="0" applyProtection="0"/>
    <xf numFmtId="0" fontId="17" fillId="0" borderId="0" applyNumberFormat="0" applyFill="0" applyBorder="0" applyAlignment="0" applyProtection="0">
      <alignment vertical="top"/>
      <protection locked="0"/>
    </xf>
    <xf numFmtId="172" fontId="6" fillId="0" borderId="0"/>
    <xf numFmtId="0" fontId="18" fillId="5" borderId="13" applyNumberFormat="0">
      <protection locked="0"/>
    </xf>
    <xf numFmtId="173" fontId="19" fillId="0" borderId="14">
      <alignment vertical="center"/>
      <protection locked="0"/>
    </xf>
    <xf numFmtId="174" fontId="19" fillId="0" borderId="14">
      <alignment vertical="center"/>
      <protection locked="0"/>
    </xf>
    <xf numFmtId="0" fontId="19" fillId="0" borderId="14">
      <alignment vertical="center"/>
      <protection locked="0"/>
    </xf>
    <xf numFmtId="175" fontId="19" fillId="0" borderId="14">
      <alignment vertical="center"/>
      <protection locked="0"/>
    </xf>
    <xf numFmtId="176" fontId="19" fillId="0" borderId="14">
      <alignment vertical="center"/>
      <protection locked="0"/>
    </xf>
    <xf numFmtId="177" fontId="19" fillId="0" borderId="14">
      <alignment vertical="center"/>
      <protection locked="0"/>
    </xf>
    <xf numFmtId="178" fontId="19" fillId="0" borderId="14">
      <alignment vertical="center"/>
      <protection locked="0"/>
    </xf>
    <xf numFmtId="49" fontId="20" fillId="0" borderId="0" applyFont="0" applyFill="0" applyBorder="0" applyAlignment="0" applyProtection="0">
      <alignment horizontal="left"/>
    </xf>
    <xf numFmtId="179" fontId="21" fillId="0" borderId="0" applyAlignment="0" applyProtection="0"/>
    <xf numFmtId="171" fontId="21" fillId="0" borderId="0" applyAlignment="0" applyProtection="0"/>
    <xf numFmtId="169" fontId="22" fillId="0" borderId="0" applyFill="0" applyBorder="0" applyAlignment="0" applyProtection="0"/>
    <xf numFmtId="49" fontId="22" fillId="0" borderId="0" applyNumberFormat="0" applyAlignment="0" applyProtection="0">
      <alignment horizontal="left"/>
    </xf>
    <xf numFmtId="49" fontId="23" fillId="0" borderId="15" applyNumberFormat="0" applyAlignment="0" applyProtection="0">
      <alignment horizontal="left" wrapText="1"/>
    </xf>
    <xf numFmtId="49" fontId="23" fillId="0" borderId="0" applyNumberFormat="0" applyAlignment="0" applyProtection="0">
      <alignment horizontal="left" wrapText="1"/>
    </xf>
    <xf numFmtId="49" fontId="24" fillId="0" borderId="0" applyAlignment="0" applyProtection="0">
      <alignment horizontal="left"/>
    </xf>
    <xf numFmtId="3" fontId="25" fillId="0" borderId="16" applyNumberFormat="0">
      <alignment vertical="center"/>
    </xf>
    <xf numFmtId="180" fontId="6" fillId="0" borderId="0" applyBorder="0"/>
    <xf numFmtId="181" fontId="6" fillId="0" borderId="0" applyBorder="0"/>
    <xf numFmtId="182" fontId="6" fillId="0" borderId="0" applyBorder="0"/>
    <xf numFmtId="183" fontId="6" fillId="0" borderId="0" applyBorder="0"/>
    <xf numFmtId="167" fontId="6" fillId="0" borderId="0" applyBorder="0"/>
    <xf numFmtId="44" fontId="6" fillId="0" borderId="0" applyBorder="0"/>
    <xf numFmtId="184" fontId="6" fillId="0" borderId="0"/>
    <xf numFmtId="185" fontId="6" fillId="0" borderId="0"/>
    <xf numFmtId="186" fontId="6" fillId="0" borderId="0"/>
    <xf numFmtId="20" fontId="6" fillId="0" borderId="0"/>
    <xf numFmtId="0" fontId="19" fillId="0" borderId="0" applyNumberFormat="0" applyFont="0" applyFill="0" applyBorder="0">
      <alignment horizontal="center" vertical="center"/>
      <protection locked="0"/>
    </xf>
    <xf numFmtId="0" fontId="26" fillId="6" borderId="17" applyNumberFormat="0" applyAlignment="0" applyProtection="0"/>
    <xf numFmtId="187" fontId="10" fillId="0" borderId="0" applyFont="0" applyFill="0" applyBorder="0" applyAlignment="0" applyProtection="0"/>
    <xf numFmtId="43" fontId="11" fillId="0" borderId="0" applyFont="0" applyFill="0" applyBorder="0" applyAlignment="0" applyProtection="0"/>
    <xf numFmtId="166" fontId="6" fillId="0" borderId="0" applyFont="0" applyFill="0" applyBorder="0" applyAlignment="0" applyProtection="0"/>
    <xf numFmtId="166" fontId="27"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43" fontId="6" fillId="0" borderId="0" applyFont="0" applyFill="0" applyBorder="0" applyAlignment="0" applyProtection="0"/>
    <xf numFmtId="3" fontId="6" fillId="0" borderId="0" applyFont="0" applyFill="0" applyBorder="0" applyAlignment="0" applyProtection="0"/>
    <xf numFmtId="188" fontId="6" fillId="0" borderId="0" applyBorder="0"/>
    <xf numFmtId="189" fontId="6" fillId="0" borderId="0" applyBorder="0"/>
    <xf numFmtId="190" fontId="6" fillId="0" borderId="0" applyBorder="0"/>
    <xf numFmtId="172" fontId="8" fillId="0" borderId="0"/>
    <xf numFmtId="172" fontId="8" fillId="0" borderId="0">
      <alignment horizontal="center"/>
    </xf>
    <xf numFmtId="172" fontId="28" fillId="0" borderId="0">
      <alignment horizontal="center"/>
    </xf>
    <xf numFmtId="172" fontId="6" fillId="0" borderId="0">
      <alignment horizontal="center"/>
    </xf>
    <xf numFmtId="172" fontId="6" fillId="0" borderId="0">
      <alignment wrapText="1"/>
    </xf>
    <xf numFmtId="172" fontId="14" fillId="0" borderId="0"/>
    <xf numFmtId="172" fontId="22" fillId="0" borderId="0"/>
    <xf numFmtId="172" fontId="22" fillId="0" borderId="0">
      <alignment wrapText="1"/>
    </xf>
    <xf numFmtId="172" fontId="29" fillId="0" borderId="0"/>
    <xf numFmtId="44" fontId="6" fillId="0" borderId="0" applyFont="0" applyFill="0" applyBorder="0" applyAlignment="0" applyProtection="0"/>
    <xf numFmtId="173" fontId="19" fillId="0" borderId="0" applyFill="0" applyBorder="0">
      <alignment vertical="center"/>
    </xf>
    <xf numFmtId="164" fontId="6" fillId="0" borderId="0" applyFont="0" applyFill="0" applyBorder="0" applyAlignment="0" applyProtection="0"/>
    <xf numFmtId="0" fontId="6" fillId="0" borderId="0" applyFont="0" applyFill="0" applyBorder="0" applyAlignment="0" applyProtection="0"/>
    <xf numFmtId="174" fontId="19" fillId="0" borderId="0" applyFill="0" applyBorder="0">
      <alignment vertical="center"/>
    </xf>
    <xf numFmtId="2" fontId="6" fillId="0" borderId="0" applyFont="0" applyFill="0" applyBorder="0" applyAlignment="0" applyProtection="0"/>
    <xf numFmtId="38" fontId="22" fillId="7" borderId="0" applyNumberFormat="0" applyBorder="0" applyAlignment="0" applyProtection="0"/>
    <xf numFmtId="0" fontId="30" fillId="8" borderId="0" applyNumberFormat="0"/>
    <xf numFmtId="0" fontId="31" fillId="0" borderId="0" applyFill="0" applyBorder="0">
      <alignment vertical="center"/>
    </xf>
    <xf numFmtId="0" fontId="32" fillId="0" borderId="0" applyFill="0" applyBorder="0">
      <alignment vertical="center"/>
    </xf>
    <xf numFmtId="0" fontId="33" fillId="0" borderId="0" applyFill="0" applyBorder="0">
      <alignment vertical="center"/>
    </xf>
    <xf numFmtId="0" fontId="19" fillId="0" borderId="0" applyFill="0" applyBorder="0">
      <alignment vertical="center"/>
    </xf>
    <xf numFmtId="0" fontId="34" fillId="0" borderId="0" applyFill="0" applyBorder="0">
      <alignment horizontal="center" vertical="center"/>
    </xf>
    <xf numFmtId="0" fontId="34" fillId="0" borderId="0" applyFill="0" applyBorder="0">
      <alignment horizontal="center" vertical="center"/>
    </xf>
    <xf numFmtId="0" fontId="35" fillId="0" borderId="0" applyFill="0" applyBorder="0">
      <alignment vertical="center"/>
    </xf>
    <xf numFmtId="0" fontId="36" fillId="0" borderId="0" applyFill="0" applyBorder="0">
      <alignment vertical="center"/>
    </xf>
    <xf numFmtId="0" fontId="37" fillId="0" borderId="0" applyFill="0" applyBorder="0">
      <alignment vertical="center"/>
    </xf>
    <xf numFmtId="0" fontId="38" fillId="0" borderId="0" applyFill="0" applyBorder="0">
      <alignment vertical="center"/>
    </xf>
    <xf numFmtId="0" fontId="38" fillId="0" borderId="0" applyFill="0" applyBorder="0">
      <alignment vertical="center"/>
    </xf>
    <xf numFmtId="180" fontId="6" fillId="9" borderId="18">
      <protection locked="0"/>
    </xf>
    <xf numFmtId="181" fontId="6" fillId="9" borderId="18">
      <protection locked="0"/>
    </xf>
    <xf numFmtId="182" fontId="6" fillId="9" borderId="18">
      <protection locked="0"/>
    </xf>
    <xf numFmtId="183" fontId="6" fillId="9" borderId="18">
      <protection locked="0"/>
    </xf>
    <xf numFmtId="167" fontId="6" fillId="9" borderId="18">
      <protection locked="0"/>
    </xf>
    <xf numFmtId="44" fontId="6" fillId="9" borderId="18">
      <protection locked="0"/>
    </xf>
    <xf numFmtId="184" fontId="6" fillId="9" borderId="18">
      <protection locked="0"/>
    </xf>
    <xf numFmtId="185" fontId="6" fillId="9" borderId="18">
      <protection locked="0"/>
    </xf>
    <xf numFmtId="186" fontId="6" fillId="9" borderId="18">
      <protection locked="0"/>
    </xf>
    <xf numFmtId="20" fontId="6" fillId="9" borderId="18">
      <protection locked="0"/>
    </xf>
    <xf numFmtId="9" fontId="39" fillId="10" borderId="0" applyFont="0" applyBorder="0" applyAlignment="0">
      <alignment horizontal="right"/>
      <protection locked="0"/>
    </xf>
    <xf numFmtId="169" fontId="39" fillId="10" borderId="0" applyFont="0" applyBorder="0" applyAlignment="0">
      <alignment horizontal="right"/>
      <protection locked="0"/>
    </xf>
    <xf numFmtId="10" fontId="39" fillId="10" borderId="0" applyFont="0" applyBorder="0" applyAlignment="0">
      <alignment horizontal="right"/>
      <protection locked="0"/>
    </xf>
    <xf numFmtId="3" fontId="40" fillId="11" borderId="19" applyFont="0" applyBorder="0">
      <alignment horizontal="right"/>
      <protection locked="0"/>
    </xf>
    <xf numFmtId="191" fontId="22" fillId="11" borderId="0" applyFont="0" applyBorder="0">
      <alignment horizontal="right"/>
      <protection locked="0"/>
    </xf>
    <xf numFmtId="4" fontId="40" fillId="11" borderId="19" applyFont="0" applyBorder="0">
      <alignment horizontal="right"/>
      <protection locked="0"/>
    </xf>
    <xf numFmtId="10" fontId="22" fillId="12" borderId="20" applyNumberFormat="0" applyBorder="0" applyAlignment="0" applyProtection="0"/>
    <xf numFmtId="192" fontId="41" fillId="10" borderId="21" applyNumberFormat="0">
      <alignment vertical="center"/>
      <protection locked="0"/>
    </xf>
    <xf numFmtId="0" fontId="42" fillId="2" borderId="1" applyNumberFormat="0" applyAlignment="0" applyProtection="0"/>
    <xf numFmtId="188" fontId="6" fillId="9" borderId="18">
      <protection locked="0"/>
    </xf>
    <xf numFmtId="189" fontId="6" fillId="9" borderId="18">
      <protection locked="0"/>
    </xf>
    <xf numFmtId="190" fontId="6" fillId="9" borderId="18">
      <protection locked="0"/>
    </xf>
    <xf numFmtId="172" fontId="8" fillId="9" borderId="18">
      <protection locked="0"/>
    </xf>
    <xf numFmtId="172" fontId="6" fillId="9" borderId="18">
      <alignment horizontal="center"/>
      <protection locked="0"/>
    </xf>
    <xf numFmtId="172" fontId="6" fillId="9" borderId="18">
      <protection locked="0"/>
    </xf>
    <xf numFmtId="172" fontId="6" fillId="9" borderId="22" applyBorder="0"/>
    <xf numFmtId="172" fontId="6" fillId="9" borderId="18">
      <alignment wrapText="1"/>
      <protection locked="0"/>
    </xf>
    <xf numFmtId="172" fontId="14" fillId="9" borderId="18">
      <protection locked="0"/>
    </xf>
    <xf numFmtId="172" fontId="22" fillId="9" borderId="18">
      <protection locked="0"/>
    </xf>
    <xf numFmtId="172" fontId="29" fillId="9" borderId="18">
      <protection locked="0"/>
    </xf>
    <xf numFmtId="0" fontId="21" fillId="0" borderId="0"/>
    <xf numFmtId="0" fontId="43" fillId="0" borderId="0"/>
    <xf numFmtId="0" fontId="44" fillId="8" borderId="23" applyNumberFormat="0"/>
    <xf numFmtId="0" fontId="33" fillId="0" borderId="20" applyFill="0">
      <alignment horizontal="center" vertical="center"/>
    </xf>
    <xf numFmtId="0" fontId="19" fillId="0" borderId="20" applyFill="0">
      <alignment horizontal="center" vertical="center"/>
    </xf>
    <xf numFmtId="193" fontId="19" fillId="0" borderId="20" applyFill="0">
      <alignment horizontal="center" vertical="center"/>
    </xf>
    <xf numFmtId="194" fontId="6" fillId="0" borderId="0" applyFont="0" applyFill="0" applyBorder="0" applyAlignment="0" applyProtection="0"/>
    <xf numFmtId="195" fontId="6" fillId="0" borderId="0" applyFont="0" applyFill="0" applyBorder="0" applyAlignment="0" applyProtection="0"/>
    <xf numFmtId="0" fontId="45" fillId="0" borderId="0" applyFill="0" applyBorder="0">
      <alignment vertical="center"/>
    </xf>
    <xf numFmtId="196" fontId="6" fillId="0" borderId="0" applyFont="0" applyFill="0" applyBorder="0" applyAlignment="0" applyProtection="0"/>
    <xf numFmtId="197" fontId="6" fillId="0" borderId="0" applyFont="0" applyFill="0" applyBorder="0" applyAlignment="0" applyProtection="0"/>
    <xf numFmtId="175" fontId="19" fillId="0" borderId="0" applyFill="0" applyBorder="0">
      <alignment vertical="center"/>
    </xf>
    <xf numFmtId="9" fontId="39" fillId="0" borderId="19" applyFont="0" applyBorder="0">
      <alignment horizontal="right"/>
    </xf>
    <xf numFmtId="169" fontId="39" fillId="0" borderId="19" applyFont="0" applyBorder="0">
      <alignment horizontal="right"/>
    </xf>
    <xf numFmtId="10" fontId="39" fillId="0" borderId="19" applyFont="0" applyBorder="0">
      <alignment horizontal="right"/>
    </xf>
    <xf numFmtId="3" fontId="39" fillId="0" borderId="19" applyFont="0" applyBorder="0">
      <alignment horizontal="right"/>
    </xf>
    <xf numFmtId="191" fontId="6" fillId="0" borderId="0" applyFont="0" applyBorder="0" applyAlignment="0">
      <alignment horizontal="right"/>
    </xf>
    <xf numFmtId="4" fontId="39" fillId="0" borderId="19" applyFont="0" applyBorder="0">
      <alignment horizontal="right"/>
    </xf>
    <xf numFmtId="198" fontId="46" fillId="0" borderId="0"/>
    <xf numFmtId="0" fontId="19" fillId="0" borderId="0" applyFill="0" applyBorder="0">
      <alignment vertical="center"/>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7"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10" fillId="0" borderId="0"/>
    <xf numFmtId="0" fontId="6" fillId="0" borderId="0"/>
    <xf numFmtId="0" fontId="10" fillId="0" borderId="0"/>
    <xf numFmtId="0" fontId="6" fillId="0" borderId="0"/>
    <xf numFmtId="0" fontId="9"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199" fontId="10" fillId="0" borderId="0"/>
    <xf numFmtId="176" fontId="19" fillId="0" borderId="0" applyFill="0" applyBorder="0">
      <alignment vertical="center"/>
    </xf>
    <xf numFmtId="10" fontId="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177" fontId="19" fillId="0" borderId="0" applyFill="0" applyBorder="0">
      <alignment vertical="center"/>
    </xf>
    <xf numFmtId="0" fontId="33" fillId="0" borderId="0" applyFill="0" applyBorder="0">
      <alignment vertical="center"/>
    </xf>
    <xf numFmtId="173" fontId="19" fillId="0" borderId="0" applyFill="0" applyBorder="0">
      <alignment vertical="center"/>
    </xf>
    <xf numFmtId="174" fontId="19" fillId="0" borderId="0" applyFill="0" applyBorder="0">
      <alignment vertical="center"/>
    </xf>
    <xf numFmtId="0" fontId="31" fillId="0" borderId="0" applyFill="0" applyBorder="0">
      <alignment vertical="center"/>
    </xf>
    <xf numFmtId="0" fontId="32" fillId="0" borderId="0" applyFill="0" applyBorder="0">
      <alignment vertical="center"/>
    </xf>
    <xf numFmtId="0" fontId="33" fillId="0" borderId="0" applyFill="0" applyBorder="0">
      <alignment vertical="center"/>
    </xf>
    <xf numFmtId="0" fontId="19" fillId="0" borderId="0" applyFill="0" applyBorder="0">
      <alignment vertical="center"/>
    </xf>
    <xf numFmtId="0" fontId="34" fillId="0" borderId="0" applyFill="0" applyBorder="0">
      <alignment horizontal="center" vertical="center"/>
    </xf>
    <xf numFmtId="0" fontId="34" fillId="0" borderId="0" applyFill="0" applyBorder="0">
      <alignment horizontal="center" vertical="center"/>
    </xf>
    <xf numFmtId="0" fontId="35" fillId="0" borderId="0" applyFill="0" applyBorder="0">
      <alignment vertical="center"/>
    </xf>
    <xf numFmtId="0" fontId="45" fillId="0" borderId="0" applyFill="0" applyBorder="0">
      <alignment vertical="center"/>
    </xf>
    <xf numFmtId="175" fontId="19" fillId="0" borderId="0" applyFill="0" applyBorder="0">
      <alignment vertical="center"/>
    </xf>
    <xf numFmtId="0" fontId="19" fillId="0" borderId="0" applyFill="0" applyBorder="0">
      <alignment vertical="center"/>
    </xf>
    <xf numFmtId="176" fontId="19" fillId="0" borderId="0" applyFill="0" applyBorder="0">
      <alignment vertical="center"/>
    </xf>
    <xf numFmtId="177" fontId="19" fillId="0" borderId="0" applyFill="0" applyBorder="0">
      <alignment vertical="center"/>
    </xf>
    <xf numFmtId="0" fontId="33" fillId="0" borderId="0" applyFill="0" applyBorder="0">
      <alignment vertical="center"/>
    </xf>
    <xf numFmtId="0" fontId="48" fillId="0" borderId="0" applyFill="0" applyBorder="0">
      <alignment vertical="center"/>
    </xf>
    <xf numFmtId="0" fontId="49" fillId="0" borderId="0" applyFill="0" applyBorder="0">
      <alignment vertical="center"/>
    </xf>
    <xf numFmtId="0" fontId="19" fillId="0" borderId="0" applyFill="0" applyBorder="0">
      <alignment vertical="center"/>
      <protection locked="0"/>
    </xf>
    <xf numFmtId="0" fontId="36" fillId="0" borderId="0" applyFill="0" applyBorder="0">
      <alignment vertical="center"/>
    </xf>
    <xf numFmtId="0" fontId="37" fillId="0" borderId="0" applyFill="0" applyBorder="0">
      <alignment vertical="center"/>
    </xf>
    <xf numFmtId="0" fontId="38" fillId="0" borderId="0" applyFill="0" applyBorder="0">
      <alignment vertical="center"/>
    </xf>
    <xf numFmtId="0" fontId="38" fillId="0" borderId="0" applyFill="0" applyBorder="0">
      <alignment vertical="center"/>
    </xf>
    <xf numFmtId="178" fontId="19" fillId="0" borderId="0" applyFill="0" applyBorder="0">
      <alignment vertical="center"/>
    </xf>
    <xf numFmtId="0" fontId="48" fillId="0" borderId="0" applyFill="0" applyBorder="0">
      <alignment vertical="center"/>
    </xf>
    <xf numFmtId="0" fontId="10" fillId="0" borderId="13" applyNumberFormat="0"/>
    <xf numFmtId="0" fontId="49" fillId="0" borderId="0" applyFill="0" applyBorder="0">
      <alignment vertical="center"/>
    </xf>
    <xf numFmtId="0" fontId="39" fillId="0" borderId="0"/>
    <xf numFmtId="0" fontId="6" fillId="0" borderId="0" applyFont="0" applyFill="0" applyBorder="0" applyAlignment="0" applyProtection="0"/>
    <xf numFmtId="0" fontId="19" fillId="0" borderId="0" applyFill="0" applyBorder="0">
      <alignment vertical="center"/>
      <protection locked="0"/>
    </xf>
    <xf numFmtId="0" fontId="16" fillId="0" borderId="0">
      <alignment horizontal="left"/>
    </xf>
    <xf numFmtId="15" fontId="21" fillId="0" borderId="0">
      <alignment horizontal="center"/>
    </xf>
    <xf numFmtId="0" fontId="50" fillId="0" borderId="0" applyFill="0" applyBorder="0">
      <alignment horizontal="center"/>
    </xf>
    <xf numFmtId="0" fontId="51" fillId="0" borderId="0" applyNumberFormat="0" applyFont="0" applyFill="0" applyBorder="0" applyAlignment="0">
      <alignment horizontal="left"/>
      <protection locked="0"/>
    </xf>
    <xf numFmtId="172" fontId="52" fillId="13" borderId="24">
      <alignment horizontal="center" wrapText="1"/>
    </xf>
    <xf numFmtId="172" fontId="52" fillId="13" borderId="24">
      <alignment horizontal="centerContinuous" wrapText="1"/>
    </xf>
    <xf numFmtId="172" fontId="52" fillId="13" borderId="24">
      <alignment horizontal="center" vertical="justify" textRotation="90"/>
    </xf>
    <xf numFmtId="172" fontId="53" fillId="0" borderId="0">
      <alignment horizontal="center"/>
    </xf>
    <xf numFmtId="172" fontId="54" fillId="14" borderId="0"/>
    <xf numFmtId="178" fontId="19" fillId="0" borderId="0" applyFill="0" applyBorder="0">
      <alignment vertical="center"/>
    </xf>
    <xf numFmtId="43" fontId="5" fillId="0" borderId="0" applyFont="0" applyFill="0" applyBorder="0" applyAlignment="0" applyProtection="0"/>
    <xf numFmtId="0" fontId="4" fillId="0" borderId="0"/>
    <xf numFmtId="44" fontId="6"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Border="0"/>
    <xf numFmtId="187" fontId="4"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5" fontId="6" fillId="0" borderId="0" applyFont="0" applyFill="0" applyBorder="0" applyAlignment="0" applyProtection="0"/>
    <xf numFmtId="44" fontId="6" fillId="9" borderId="18">
      <protection locked="0"/>
    </xf>
    <xf numFmtId="0" fontId="4" fillId="0" borderId="0"/>
    <xf numFmtId="0" fontId="4" fillId="0" borderId="0"/>
    <xf numFmtId="0" fontId="4" fillId="0" borderId="0"/>
    <xf numFmtId="199" fontId="4" fillId="0" borderId="0"/>
    <xf numFmtId="9" fontId="4" fillId="0" borderId="0" applyFont="0" applyFill="0" applyBorder="0" applyAlignment="0" applyProtection="0"/>
    <xf numFmtId="9" fontId="4"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cellStyleXfs>
  <cellXfs count="254">
    <xf numFmtId="0" fontId="0" fillId="0" borderId="0" xfId="0"/>
    <xf numFmtId="0" fontId="55" fillId="0" borderId="0" xfId="0" applyFont="1"/>
    <xf numFmtId="0" fontId="57" fillId="0" borderId="0" xfId="0" applyFont="1"/>
    <xf numFmtId="0" fontId="0" fillId="18" borderId="0" xfId="0" applyFill="1"/>
    <xf numFmtId="0" fontId="55" fillId="0" borderId="8" xfId="0" applyFont="1" applyBorder="1"/>
    <xf numFmtId="0" fontId="58" fillId="0" borderId="0" xfId="0" applyFont="1"/>
    <xf numFmtId="0" fontId="56" fillId="0" borderId="0" xfId="75" applyFont="1" applyAlignment="1">
      <alignment horizontal="left" vertical="center"/>
    </xf>
    <xf numFmtId="0" fontId="55" fillId="0" borderId="0" xfId="158" applyFont="1" applyAlignment="1">
      <alignment vertical="center"/>
    </xf>
    <xf numFmtId="0" fontId="55" fillId="0" borderId="0" xfId="77" applyFont="1" applyAlignment="1">
      <alignment horizontal="left" vertical="center"/>
    </xf>
    <xf numFmtId="0" fontId="55" fillId="0" borderId="0" xfId="78" applyFont="1" applyAlignment="1">
      <alignment vertical="top"/>
    </xf>
    <xf numFmtId="0" fontId="55" fillId="0" borderId="0" xfId="75" applyFont="1" applyAlignment="1">
      <alignment horizontal="left" vertical="center"/>
    </xf>
    <xf numFmtId="0" fontId="58" fillId="0" borderId="0" xfId="75" applyFont="1" applyAlignment="1">
      <alignment horizontal="left" vertical="center"/>
    </xf>
    <xf numFmtId="0" fontId="59" fillId="0" borderId="0" xfId="75" applyFont="1" applyFill="1" applyAlignment="1">
      <alignment horizontal="left" vertical="center"/>
    </xf>
    <xf numFmtId="0" fontId="60" fillId="0" borderId="0" xfId="0" applyFont="1"/>
    <xf numFmtId="200" fontId="25" fillId="17" borderId="0" xfId="3" applyNumberFormat="1" applyFont="1" applyFill="1" applyAlignment="1" applyProtection="1">
      <alignment horizontal="left"/>
      <protection locked="0"/>
    </xf>
    <xf numFmtId="0" fontId="25" fillId="0" borderId="0" xfId="158" applyFont="1" applyAlignment="1">
      <alignment horizontal="center" vertical="center"/>
    </xf>
    <xf numFmtId="0" fontId="25" fillId="3" borderId="0" xfId="77" applyFont="1" applyFill="1" applyAlignment="1">
      <alignment horizontal="center" vertical="top"/>
    </xf>
    <xf numFmtId="0" fontId="61" fillId="18" borderId="0" xfId="77" applyFont="1" applyFill="1" applyAlignment="1">
      <alignment horizontal="center" vertical="top"/>
    </xf>
    <xf numFmtId="0" fontId="60" fillId="0" borderId="0" xfId="75" applyFont="1" applyAlignment="1">
      <alignment horizontal="left" vertical="center"/>
    </xf>
    <xf numFmtId="0" fontId="62" fillId="18" borderId="0" xfId="4" applyFont="1" applyFill="1" applyAlignment="1">
      <alignment horizontal="left" vertical="center"/>
    </xf>
    <xf numFmtId="0" fontId="3"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0" fontId="57" fillId="3" borderId="0" xfId="0" applyFont="1" applyFill="1"/>
    <xf numFmtId="0" fontId="3" fillId="0" borderId="6" xfId="0" applyFont="1" applyBorder="1"/>
    <xf numFmtId="9" fontId="63" fillId="0" borderId="0" xfId="2" applyFont="1" applyBorder="1" applyAlignment="1">
      <alignment horizontal="right"/>
    </xf>
    <xf numFmtId="0" fontId="3" fillId="0" borderId="0" xfId="77" applyFont="1" applyBorder="1" applyAlignment="1">
      <alignment horizontal="left" vertical="center"/>
    </xf>
    <xf numFmtId="0" fontId="3" fillId="17" borderId="0" xfId="0" applyFont="1" applyFill="1" applyAlignment="1">
      <alignment horizontal="right"/>
    </xf>
    <xf numFmtId="14" fontId="64" fillId="0" borderId="0" xfId="3" applyNumberFormat="1" applyFont="1" applyAlignment="1">
      <alignment horizontal="right"/>
    </xf>
    <xf numFmtId="0" fontId="57" fillId="0" borderId="0" xfId="77" applyFont="1" applyBorder="1" applyAlignment="1">
      <alignment horizontal="left" vertical="center"/>
    </xf>
    <xf numFmtId="170" fontId="3" fillId="0" borderId="0" xfId="0" applyNumberFormat="1" applyFont="1"/>
    <xf numFmtId="168" fontId="3" fillId="0" borderId="0" xfId="1" applyNumberFormat="1" applyFont="1" applyBorder="1" applyAlignment="1">
      <alignment horizontal="right"/>
    </xf>
    <xf numFmtId="202" fontId="3" fillId="17" borderId="0" xfId="1" applyNumberFormat="1" applyFont="1" applyFill="1" applyBorder="1" applyAlignment="1">
      <alignment horizontal="right"/>
    </xf>
    <xf numFmtId="9" fontId="64" fillId="0" borderId="0" xfId="2" applyFont="1" applyBorder="1"/>
    <xf numFmtId="9" fontId="3" fillId="0" borderId="0" xfId="0" applyNumberFormat="1" applyFont="1"/>
    <xf numFmtId="169" fontId="64" fillId="17" borderId="0" xfId="2" applyNumberFormat="1" applyFont="1" applyFill="1" applyBorder="1"/>
    <xf numFmtId="169" fontId="64" fillId="0" borderId="0" xfId="2" applyNumberFormat="1" applyFont="1" applyBorder="1"/>
    <xf numFmtId="168" fontId="3" fillId="0" borderId="0" xfId="0" applyNumberFormat="1" applyFont="1"/>
    <xf numFmtId="168" fontId="3" fillId="0" borderId="3" xfId="0" applyNumberFormat="1" applyFont="1" applyBorder="1"/>
    <xf numFmtId="168" fontId="57" fillId="0" borderId="0" xfId="0" applyNumberFormat="1" applyFont="1"/>
    <xf numFmtId="169" fontId="3" fillId="0" borderId="0" xfId="2" applyNumberFormat="1" applyFont="1"/>
    <xf numFmtId="0" fontId="3" fillId="0" borderId="7" xfId="0" applyFont="1" applyBorder="1"/>
    <xf numFmtId="0" fontId="3" fillId="0" borderId="8" xfId="0" applyFont="1" applyBorder="1"/>
    <xf numFmtId="0" fontId="3" fillId="0" borderId="9" xfId="0" applyFont="1" applyBorder="1"/>
    <xf numFmtId="0" fontId="65" fillId="19" borderId="10" xfId="0" applyFont="1" applyFill="1" applyBorder="1" applyAlignment="1">
      <alignment horizontal="center" vertical="center" wrapText="1"/>
    </xf>
    <xf numFmtId="0" fontId="65" fillId="19" borderId="11" xfId="0" applyFont="1" applyFill="1" applyBorder="1" applyAlignment="1">
      <alignment horizontal="center" vertical="center" wrapText="1"/>
    </xf>
    <xf numFmtId="0" fontId="65" fillId="19" borderId="12" xfId="0" applyFont="1" applyFill="1" applyBorder="1" applyAlignment="1">
      <alignment horizontal="center" vertical="center" wrapText="1"/>
    </xf>
    <xf numFmtId="0" fontId="64" fillId="18" borderId="0" xfId="3" applyFont="1" applyFill="1"/>
    <xf numFmtId="0" fontId="66" fillId="18" borderId="0" xfId="4" applyFont="1" applyFill="1" applyBorder="1" applyAlignment="1" applyProtection="1"/>
    <xf numFmtId="0" fontId="67" fillId="18" borderId="0" xfId="3" applyFont="1" applyFill="1"/>
    <xf numFmtId="0" fontId="64" fillId="0" borderId="0" xfId="3" applyFont="1"/>
    <xf numFmtId="0" fontId="64" fillId="0" borderId="0" xfId="3" applyFont="1" applyAlignment="1">
      <alignment horizontal="left"/>
    </xf>
    <xf numFmtId="0" fontId="64" fillId="0" borderId="2" xfId="3" applyFont="1" applyBorder="1"/>
    <xf numFmtId="0" fontId="64" fillId="0" borderId="3" xfId="3" applyFont="1" applyBorder="1" applyAlignment="1">
      <alignment horizontal="left"/>
    </xf>
    <xf numFmtId="0" fontId="64" fillId="0" borderId="3" xfId="3" applyFont="1" applyBorder="1"/>
    <xf numFmtId="0" fontId="64" fillId="0" borderId="4" xfId="3" applyFont="1" applyBorder="1"/>
    <xf numFmtId="0" fontId="64" fillId="0" borderId="5" xfId="3" applyFont="1" applyBorder="1"/>
    <xf numFmtId="0" fontId="65" fillId="0" borderId="0" xfId="3" applyFont="1" applyAlignment="1">
      <alignment horizontal="left"/>
    </xf>
    <xf numFmtId="0" fontId="65" fillId="17" borderId="0" xfId="3" applyFont="1" applyFill="1" applyProtection="1">
      <protection locked="0"/>
    </xf>
    <xf numFmtId="0" fontId="64" fillId="17" borderId="0" xfId="3" applyFont="1" applyFill="1"/>
    <xf numFmtId="0" fontId="64" fillId="0" borderId="6" xfId="3" applyFont="1" applyBorder="1"/>
    <xf numFmtId="14" fontId="57" fillId="17" borderId="0" xfId="3" applyNumberFormat="1" applyFont="1" applyFill="1" applyAlignment="1" applyProtection="1">
      <alignment horizontal="left"/>
      <protection locked="0"/>
    </xf>
    <xf numFmtId="0" fontId="65" fillId="17" borderId="0" xfId="3" applyFont="1" applyFill="1" applyAlignment="1" applyProtection="1">
      <alignment horizontal="left"/>
      <protection locked="0"/>
    </xf>
    <xf numFmtId="0" fontId="65" fillId="0" borderId="0" xfId="3" applyFont="1"/>
    <xf numFmtId="9" fontId="65" fillId="0" borderId="0" xfId="2" applyFont="1" applyFill="1" applyBorder="1" applyAlignment="1" applyProtection="1">
      <alignment horizontal="left"/>
      <protection locked="0"/>
    </xf>
    <xf numFmtId="0" fontId="68" fillId="0" borderId="0" xfId="3" applyFont="1"/>
    <xf numFmtId="0" fontId="65" fillId="19" borderId="2" xfId="3" applyFont="1" applyFill="1" applyBorder="1" applyAlignment="1">
      <alignment horizontal="left"/>
    </xf>
    <xf numFmtId="0" fontId="65" fillId="19" borderId="3" xfId="3" applyFont="1" applyFill="1" applyBorder="1" applyAlignment="1">
      <alignment horizontal="center"/>
    </xf>
    <xf numFmtId="0" fontId="65" fillId="19" borderId="4" xfId="3" applyFont="1" applyFill="1" applyBorder="1" applyAlignment="1">
      <alignment horizontal="center"/>
    </xf>
    <xf numFmtId="0" fontId="65" fillId="0" borderId="5" xfId="3" applyFont="1" applyBorder="1" applyAlignment="1">
      <alignment horizontal="left"/>
    </xf>
    <xf numFmtId="0" fontId="65" fillId="0" borderId="0" xfId="3" applyFont="1" applyAlignment="1">
      <alignment horizontal="center"/>
    </xf>
    <xf numFmtId="0" fontId="70" fillId="0" borderId="6" xfId="3" applyFont="1" applyBorder="1" applyAlignment="1">
      <alignment horizontal="center"/>
    </xf>
    <xf numFmtId="0" fontId="64" fillId="0" borderId="5" xfId="3" applyFont="1" applyBorder="1" applyAlignment="1">
      <alignment horizontal="left"/>
    </xf>
    <xf numFmtId="200" fontId="64" fillId="0" borderId="0" xfId="3" applyNumberFormat="1" applyFont="1"/>
    <xf numFmtId="201" fontId="3" fillId="17" borderId="0" xfId="1" applyNumberFormat="1" applyFont="1" applyFill="1" applyBorder="1" applyAlignment="1" applyProtection="1">
      <protection locked="0"/>
    </xf>
    <xf numFmtId="201" fontId="3" fillId="0" borderId="0" xfId="1" applyNumberFormat="1" applyFont="1" applyFill="1" applyBorder="1" applyAlignment="1" applyProtection="1"/>
    <xf numFmtId="201" fontId="71" fillId="0" borderId="6" xfId="1" applyNumberFormat="1" applyFont="1" applyFill="1" applyBorder="1" applyAlignment="1" applyProtection="1"/>
    <xf numFmtId="200" fontId="64" fillId="17" borderId="0" xfId="3" applyNumberFormat="1" applyFont="1" applyFill="1" applyProtection="1">
      <protection locked="0"/>
    </xf>
    <xf numFmtId="0" fontId="64" fillId="0" borderId="10" xfId="3" applyFont="1" applyBorder="1" applyAlignment="1">
      <alignment horizontal="left"/>
    </xf>
    <xf numFmtId="200" fontId="64" fillId="0" borderId="11" xfId="3" applyNumberFormat="1" applyFont="1" applyBorder="1"/>
    <xf numFmtId="200" fontId="65" fillId="0" borderId="11" xfId="3" applyNumberFormat="1" applyFont="1" applyBorder="1"/>
    <xf numFmtId="201" fontId="3" fillId="0" borderId="11" xfId="1" applyNumberFormat="1" applyFont="1" applyFill="1" applyBorder="1" applyAlignment="1" applyProtection="1"/>
    <xf numFmtId="201" fontId="3" fillId="0" borderId="12" xfId="1" applyNumberFormat="1" applyFont="1" applyFill="1" applyBorder="1" applyAlignment="1" applyProtection="1"/>
    <xf numFmtId="0" fontId="65" fillId="0" borderId="10" xfId="3" applyFont="1" applyBorder="1" applyAlignment="1">
      <alignment horizontal="left"/>
    </xf>
    <xf numFmtId="0" fontId="65" fillId="0" borderId="11" xfId="3" applyFont="1" applyBorder="1"/>
    <xf numFmtId="201" fontId="57" fillId="0" borderId="11" xfId="1" applyNumberFormat="1" applyFont="1" applyFill="1" applyBorder="1" applyAlignment="1" applyProtection="1"/>
    <xf numFmtId="201" fontId="57" fillId="0" borderId="11" xfId="1" applyNumberFormat="1" applyFont="1" applyFill="1" applyBorder="1" applyAlignment="1" applyProtection="1">
      <alignment horizontal="left"/>
    </xf>
    <xf numFmtId="201" fontId="57" fillId="0" borderId="12" xfId="1" applyNumberFormat="1" applyFont="1" applyFill="1" applyBorder="1" applyAlignment="1" applyProtection="1"/>
    <xf numFmtId="201" fontId="64" fillId="0" borderId="0" xfId="1" applyNumberFormat="1" applyFont="1" applyBorder="1" applyAlignment="1" applyProtection="1">
      <alignment horizontal="right"/>
    </xf>
    <xf numFmtId="201" fontId="64" fillId="17" borderId="0" xfId="1" applyNumberFormat="1" applyFont="1" applyFill="1" applyBorder="1" applyAlignment="1" applyProtection="1">
      <protection locked="0"/>
    </xf>
    <xf numFmtId="201" fontId="64" fillId="0" borderId="0" xfId="1" applyNumberFormat="1" applyFont="1" applyFill="1" applyBorder="1" applyAlignment="1" applyProtection="1"/>
    <xf numFmtId="201" fontId="72" fillId="0" borderId="6" xfId="1" applyNumberFormat="1" applyFont="1" applyFill="1" applyBorder="1" applyAlignment="1" applyProtection="1"/>
    <xf numFmtId="0" fontId="64" fillId="4" borderId="5" xfId="3" applyFont="1" applyFill="1" applyBorder="1" applyAlignment="1">
      <alignment horizontal="left"/>
    </xf>
    <xf numFmtId="0" fontId="64" fillId="0" borderId="0" xfId="3" applyFont="1" applyAlignment="1">
      <alignment horizontal="right"/>
    </xf>
    <xf numFmtId="201" fontId="72" fillId="0" borderId="6" xfId="1" applyNumberFormat="1" applyFont="1" applyFill="1" applyBorder="1" applyAlignment="1" applyProtection="1">
      <alignment wrapText="1"/>
    </xf>
    <xf numFmtId="9" fontId="64" fillId="0" borderId="0" xfId="2" applyFont="1" applyBorder="1" applyAlignment="1" applyProtection="1">
      <alignment horizontal="right"/>
    </xf>
    <xf numFmtId="169" fontId="3" fillId="17" borderId="0" xfId="5" applyNumberFormat="1" applyFont="1" applyFill="1" applyBorder="1" applyAlignment="1" applyProtection="1">
      <alignment horizontal="right"/>
      <protection locked="0"/>
    </xf>
    <xf numFmtId="201" fontId="64" fillId="0" borderId="0" xfId="1" applyNumberFormat="1" applyFont="1" applyBorder="1" applyAlignment="1" applyProtection="1"/>
    <xf numFmtId="0" fontId="64" fillId="0" borderId="11" xfId="3" applyFont="1" applyBorder="1"/>
    <xf numFmtId="168" fontId="57" fillId="0" borderId="11" xfId="1" applyNumberFormat="1" applyFont="1" applyFill="1" applyBorder="1" applyAlignment="1" applyProtection="1"/>
    <xf numFmtId="168" fontId="57" fillId="0" borderId="12" xfId="1" applyNumberFormat="1" applyFont="1" applyFill="1" applyBorder="1" applyAlignment="1" applyProtection="1"/>
    <xf numFmtId="201" fontId="72" fillId="0" borderId="6" xfId="1" quotePrefix="1" applyNumberFormat="1" applyFont="1" applyBorder="1" applyAlignment="1" applyProtection="1">
      <alignment horizontal="center"/>
    </xf>
    <xf numFmtId="0" fontId="64" fillId="0" borderId="7" xfId="3" applyFont="1" applyBorder="1" applyAlignment="1">
      <alignment horizontal="left"/>
    </xf>
    <xf numFmtId="201" fontId="64" fillId="0" borderId="8" xfId="1" applyNumberFormat="1" applyFont="1" applyBorder="1" applyAlignment="1" applyProtection="1"/>
    <xf numFmtId="201" fontId="72" fillId="0" borderId="9" xfId="1" quotePrefix="1" applyNumberFormat="1" applyFont="1" applyBorder="1" applyAlignment="1" applyProtection="1">
      <alignment horizontal="center"/>
    </xf>
    <xf numFmtId="200" fontId="64" fillId="0" borderId="0" xfId="3" applyNumberFormat="1" applyFont="1" applyAlignment="1">
      <alignment horizontal="right"/>
    </xf>
    <xf numFmtId="0" fontId="65" fillId="0" borderId="2" xfId="3" applyFont="1" applyBorder="1" applyAlignment="1">
      <alignment horizontal="left"/>
    </xf>
    <xf numFmtId="200" fontId="64" fillId="0" borderId="3" xfId="3" applyNumberFormat="1" applyFont="1" applyBorder="1" applyAlignment="1">
      <alignment horizontal="right"/>
    </xf>
    <xf numFmtId="10" fontId="73" fillId="0" borderId="3" xfId="3" applyNumberFormat="1" applyFont="1" applyBorder="1"/>
    <xf numFmtId="201" fontId="65" fillId="0" borderId="3" xfId="1" applyNumberFormat="1" applyFont="1" applyBorder="1" applyAlignment="1" applyProtection="1"/>
    <xf numFmtId="201" fontId="65" fillId="0" borderId="3" xfId="1" applyNumberFormat="1" applyFont="1" applyBorder="1" applyAlignment="1" applyProtection="1">
      <alignment horizontal="left"/>
    </xf>
    <xf numFmtId="201" fontId="65" fillId="0" borderId="4" xfId="1" applyNumberFormat="1" applyFont="1" applyBorder="1" applyAlignment="1" applyProtection="1"/>
    <xf numFmtId="9" fontId="64" fillId="17" borderId="0" xfId="2" applyFont="1" applyFill="1" applyBorder="1" applyProtection="1">
      <protection locked="0"/>
    </xf>
    <xf numFmtId="201" fontId="65" fillId="0" borderId="0" xfId="1" applyNumberFormat="1" applyFont="1" applyBorder="1" applyAlignment="1" applyProtection="1"/>
    <xf numFmtId="0" fontId="74" fillId="0" borderId="0" xfId="3" applyFont="1"/>
    <xf numFmtId="0" fontId="74" fillId="0" borderId="0" xfId="3" applyFont="1" applyAlignment="1">
      <alignment horizontal="left"/>
    </xf>
    <xf numFmtId="0" fontId="44" fillId="18" borderId="0" xfId="3" applyFont="1" applyFill="1" applyAlignment="1">
      <alignment horizontal="center" wrapText="1"/>
    </xf>
    <xf numFmtId="201" fontId="64" fillId="0" borderId="0" xfId="3" applyNumberFormat="1" applyFont="1"/>
    <xf numFmtId="201" fontId="65" fillId="0" borderId="3" xfId="3" applyNumberFormat="1" applyFont="1" applyBorder="1"/>
    <xf numFmtId="0" fontId="74" fillId="0" borderId="3" xfId="3" applyFont="1" applyBorder="1"/>
    <xf numFmtId="0" fontId="64" fillId="0" borderId="3" xfId="3" applyFont="1" applyBorder="1" applyProtection="1">
      <protection locked="0"/>
    </xf>
    <xf numFmtId="201" fontId="72" fillId="0" borderId="4" xfId="1" applyNumberFormat="1" applyFont="1" applyFill="1" applyBorder="1" applyAlignment="1" applyProtection="1"/>
    <xf numFmtId="201" fontId="64" fillId="0" borderId="8" xfId="3" applyNumberFormat="1" applyFont="1" applyBorder="1"/>
    <xf numFmtId="201" fontId="64" fillId="0" borderId="8" xfId="1" applyNumberFormat="1" applyFont="1" applyFill="1" applyBorder="1" applyAlignment="1" applyProtection="1">
      <protection locked="0"/>
    </xf>
    <xf numFmtId="0" fontId="72" fillId="0" borderId="8" xfId="3" applyFont="1" applyBorder="1" applyAlignment="1" applyProtection="1">
      <alignment horizontal="center"/>
      <protection locked="0"/>
    </xf>
    <xf numFmtId="0" fontId="74" fillId="0" borderId="8" xfId="3" applyFont="1" applyBorder="1"/>
    <xf numFmtId="0" fontId="64" fillId="0" borderId="8" xfId="3" applyFont="1" applyBorder="1" applyProtection="1">
      <protection locked="0"/>
    </xf>
    <xf numFmtId="201" fontId="72" fillId="0" borderId="9" xfId="1" applyNumberFormat="1" applyFont="1" applyFill="1" applyBorder="1" applyAlignment="1" applyProtection="1"/>
    <xf numFmtId="0" fontId="64" fillId="19" borderId="3" xfId="3" applyFont="1" applyFill="1" applyBorder="1"/>
    <xf numFmtId="0" fontId="64" fillId="15" borderId="0" xfId="3" applyFont="1" applyFill="1"/>
    <xf numFmtId="0" fontId="65" fillId="0" borderId="0" xfId="3" applyFont="1" applyAlignment="1">
      <alignment horizontal="center" wrapText="1"/>
    </xf>
    <xf numFmtId="201" fontId="64" fillId="0" borderId="0" xfId="3" applyNumberFormat="1" applyFont="1" applyAlignment="1">
      <alignment horizontal="right"/>
    </xf>
    <xf numFmtId="0" fontId="64" fillId="15" borderId="8" xfId="3" applyFont="1" applyFill="1" applyBorder="1"/>
    <xf numFmtId="9" fontId="72" fillId="0" borderId="0" xfId="2" applyFont="1" applyFill="1" applyBorder="1" applyAlignment="1" applyProtection="1">
      <alignment horizontal="center"/>
    </xf>
    <xf numFmtId="201" fontId="65" fillId="0" borderId="3" xfId="3" applyNumberFormat="1" applyFont="1" applyBorder="1" applyAlignment="1">
      <alignment horizontal="right"/>
    </xf>
    <xf numFmtId="0" fontId="64" fillId="15" borderId="3" xfId="3" applyFont="1" applyFill="1" applyBorder="1"/>
    <xf numFmtId="201" fontId="64" fillId="0" borderId="3" xfId="3" applyNumberFormat="1" applyFont="1" applyBorder="1"/>
    <xf numFmtId="0" fontId="65" fillId="0" borderId="0" xfId="3" applyFont="1" applyAlignment="1">
      <alignment horizontal="right"/>
    </xf>
    <xf numFmtId="201" fontId="64" fillId="0" borderId="3" xfId="3" applyNumberFormat="1" applyFont="1" applyBorder="1" applyAlignment="1">
      <alignment horizontal="right"/>
    </xf>
    <xf numFmtId="9" fontId="72" fillId="0" borderId="3" xfId="2" applyFont="1" applyFill="1" applyBorder="1" applyAlignment="1" applyProtection="1">
      <alignment horizontal="center"/>
    </xf>
    <xf numFmtId="0" fontId="64" fillId="0" borderId="26" xfId="3" applyFont="1" applyBorder="1" applyAlignment="1">
      <alignment horizontal="left"/>
    </xf>
    <xf numFmtId="0" fontId="64" fillId="0" borderId="27" xfId="3" applyFont="1" applyBorder="1"/>
    <xf numFmtId="201" fontId="64" fillId="0" borderId="27" xfId="3" applyNumberFormat="1" applyFont="1" applyBorder="1" applyAlignment="1">
      <alignment horizontal="right"/>
    </xf>
    <xf numFmtId="0" fontId="64" fillId="15" borderId="27" xfId="3" applyFont="1" applyFill="1" applyBorder="1"/>
    <xf numFmtId="201" fontId="64" fillId="0" borderId="27" xfId="3" applyNumberFormat="1" applyFont="1" applyBorder="1"/>
    <xf numFmtId="0" fontId="64" fillId="0" borderId="28" xfId="3" applyFont="1" applyBorder="1"/>
    <xf numFmtId="201" fontId="65" fillId="0" borderId="0" xfId="3" applyNumberFormat="1" applyFont="1" applyAlignment="1">
      <alignment horizontal="right"/>
    </xf>
    <xf numFmtId="201" fontId="65" fillId="15" borderId="0" xfId="3" applyNumberFormat="1" applyFont="1" applyFill="1"/>
    <xf numFmtId="201" fontId="64" fillId="16" borderId="0" xfId="3" applyNumberFormat="1" applyFont="1" applyFill="1"/>
    <xf numFmtId="0" fontId="64" fillId="0" borderId="8" xfId="3" applyFont="1" applyBorder="1"/>
    <xf numFmtId="9" fontId="3" fillId="16" borderId="8" xfId="5" applyFont="1" applyFill="1" applyBorder="1" applyAlignment="1" applyProtection="1"/>
    <xf numFmtId="9" fontId="3" fillId="0" borderId="8" xfId="5" applyFont="1" applyFill="1" applyBorder="1" applyAlignment="1" applyProtection="1"/>
    <xf numFmtId="10" fontId="3" fillId="0" borderId="8" xfId="5" applyNumberFormat="1" applyFont="1" applyFill="1" applyBorder="1" applyAlignment="1" applyProtection="1"/>
    <xf numFmtId="0" fontId="64" fillId="0" borderId="9" xfId="3" applyFont="1" applyBorder="1"/>
    <xf numFmtId="0" fontId="64" fillId="0" borderId="7" xfId="3" applyFont="1" applyBorder="1"/>
    <xf numFmtId="0" fontId="64" fillId="0" borderId="8" xfId="3" applyFont="1" applyBorder="1" applyAlignment="1">
      <alignment horizontal="left"/>
    </xf>
    <xf numFmtId="0" fontId="66" fillId="18" borderId="0" xfId="4" applyFont="1" applyFill="1" applyAlignment="1" applyProtection="1"/>
    <xf numFmtId="0" fontId="64" fillId="18" borderId="5" xfId="3" applyFont="1" applyFill="1" applyBorder="1"/>
    <xf numFmtId="0" fontId="57" fillId="19" borderId="0" xfId="0" applyFont="1" applyFill="1"/>
    <xf numFmtId="0" fontId="3" fillId="19" borderId="0" xfId="0" applyFont="1" applyFill="1"/>
    <xf numFmtId="0" fontId="3" fillId="19" borderId="6" xfId="0" applyFont="1" applyFill="1" applyBorder="1"/>
    <xf numFmtId="0" fontId="57" fillId="0" borderId="0" xfId="0" applyFont="1" applyAlignment="1">
      <alignment horizontal="center"/>
    </xf>
    <xf numFmtId="0" fontId="3" fillId="0" borderId="0" xfId="0" applyFont="1" applyAlignment="1">
      <alignment horizontal="center"/>
    </xf>
    <xf numFmtId="9" fontId="64" fillId="17" borderId="0" xfId="0" applyNumberFormat="1" applyFont="1" applyFill="1" applyProtection="1">
      <protection locked="0"/>
    </xf>
    <xf numFmtId="3" fontId="64" fillId="0" borderId="3" xfId="0" applyNumberFormat="1" applyFont="1" applyBorder="1"/>
    <xf numFmtId="3" fontId="64" fillId="0" borderId="0" xfId="0" applyNumberFormat="1" applyFont="1"/>
    <xf numFmtId="3" fontId="64" fillId="17" borderId="0" xfId="0" applyNumberFormat="1" applyFont="1" applyFill="1" applyProtection="1">
      <protection locked="0"/>
    </xf>
    <xf numFmtId="0" fontId="3" fillId="0" borderId="0" xfId="0" quotePrefix="1" applyFont="1"/>
    <xf numFmtId="3" fontId="65" fillId="0" borderId="3" xfId="0" applyNumberFormat="1" applyFont="1" applyBorder="1"/>
    <xf numFmtId="0" fontId="57" fillId="0" borderId="0" xfId="0" quotePrefix="1" applyFont="1" applyAlignment="1">
      <alignment horizontal="center"/>
    </xf>
    <xf numFmtId="0" fontId="3" fillId="0" borderId="0" xfId="0" applyFont="1" applyProtection="1">
      <protection locked="0"/>
    </xf>
    <xf numFmtId="3" fontId="65" fillId="0" borderId="0" xfId="0" applyNumberFormat="1" applyFont="1"/>
    <xf numFmtId="3" fontId="65" fillId="0" borderId="25" xfId="0" applyNumberFormat="1" applyFont="1" applyBorder="1"/>
    <xf numFmtId="0" fontId="71" fillId="0" borderId="0" xfId="0" quotePrefix="1" applyFont="1"/>
    <xf numFmtId="0" fontId="64" fillId="0" borderId="5" xfId="3" applyFont="1" applyBorder="1" applyAlignment="1">
      <alignment horizontal="left" indent="1"/>
    </xf>
    <xf numFmtId="168" fontId="3" fillId="0" borderId="0" xfId="1" applyNumberFormat="1" applyFont="1" applyFill="1" applyBorder="1" applyProtection="1">
      <protection locked="0"/>
    </xf>
    <xf numFmtId="9" fontId="64" fillId="0" borderId="6" xfId="2" applyFont="1" applyFill="1" applyBorder="1"/>
    <xf numFmtId="0" fontId="64" fillId="0" borderId="7" xfId="3" applyFont="1" applyBorder="1" applyAlignment="1">
      <alignment horizontal="left" indent="1"/>
    </xf>
    <xf numFmtId="168" fontId="3" fillId="0" borderId="8" xfId="1" applyNumberFormat="1" applyFont="1" applyFill="1" applyBorder="1" applyProtection="1">
      <protection locked="0"/>
    </xf>
    <xf numFmtId="9" fontId="64" fillId="0" borderId="9" xfId="2" applyFont="1" applyFill="1" applyBorder="1"/>
    <xf numFmtId="0" fontId="64" fillId="0" borderId="0" xfId="3" applyFont="1" applyAlignment="1">
      <alignment horizontal="left" indent="1"/>
    </xf>
    <xf numFmtId="9" fontId="65" fillId="0" borderId="0" xfId="2" applyFont="1" applyFill="1" applyBorder="1"/>
    <xf numFmtId="0" fontId="72" fillId="17" borderId="0" xfId="3" applyFont="1" applyFill="1" applyAlignment="1" applyProtection="1">
      <alignment horizontal="center"/>
      <protection locked="0"/>
    </xf>
    <xf numFmtId="0" fontId="78" fillId="0" borderId="0" xfId="144" applyFont="1"/>
    <xf numFmtId="0" fontId="78" fillId="20" borderId="0" xfId="144" applyFont="1" applyFill="1"/>
    <xf numFmtId="0" fontId="78" fillId="20" borderId="0" xfId="144" applyFont="1" applyFill="1" applyAlignment="1">
      <alignment horizontal="right"/>
    </xf>
    <xf numFmtId="14" fontId="78" fillId="20" borderId="0" xfId="144" applyNumberFormat="1" applyFont="1" applyFill="1" applyAlignment="1" applyProtection="1">
      <alignment horizontal="right"/>
      <protection locked="0"/>
    </xf>
    <xf numFmtId="0" fontId="79" fillId="21" borderId="20" xfId="144" applyFont="1" applyFill="1" applyBorder="1" applyAlignment="1">
      <alignment vertical="center" wrapText="1"/>
    </xf>
    <xf numFmtId="0" fontId="79" fillId="21" borderId="20" xfId="144" applyFont="1" applyFill="1" applyBorder="1" applyAlignment="1">
      <alignment vertical="center"/>
    </xf>
    <xf numFmtId="0" fontId="79" fillId="21" borderId="20" xfId="144" applyFont="1" applyFill="1" applyBorder="1" applyAlignment="1">
      <alignment horizontal="center" vertical="center" wrapText="1"/>
    </xf>
    <xf numFmtId="0" fontId="78" fillId="0" borderId="29" xfId="144" applyFont="1" applyBorder="1" applyAlignment="1">
      <alignment vertical="center" wrapText="1"/>
    </xf>
    <xf numFmtId="203" fontId="78" fillId="0" borderId="30" xfId="48" applyNumberFormat="1" applyFont="1" applyFill="1" applyBorder="1" applyAlignment="1">
      <alignment vertical="center" wrapText="1"/>
    </xf>
    <xf numFmtId="0" fontId="78" fillId="0" borderId="30" xfId="144" applyFont="1" applyBorder="1" applyAlignment="1">
      <alignment vertical="center" wrapText="1"/>
    </xf>
    <xf numFmtId="0" fontId="78" fillId="0" borderId="31" xfId="144" applyFont="1" applyBorder="1" applyAlignment="1">
      <alignment vertical="center"/>
    </xf>
    <xf numFmtId="203" fontId="78" fillId="0" borderId="31" xfId="48" applyNumberFormat="1" applyFont="1" applyFill="1" applyBorder="1" applyAlignment="1">
      <alignment vertical="center" wrapText="1"/>
    </xf>
    <xf numFmtId="0" fontId="0" fillId="22" borderId="0" xfId="0" applyFill="1"/>
    <xf numFmtId="0" fontId="0" fillId="4" borderId="0" xfId="0" applyFill="1"/>
    <xf numFmtId="0" fontId="80" fillId="4" borderId="0" xfId="0" quotePrefix="1" applyFont="1" applyFill="1"/>
    <xf numFmtId="0" fontId="81" fillId="4" borderId="0" xfId="0" applyFont="1" applyFill="1"/>
    <xf numFmtId="0" fontId="81" fillId="4" borderId="0" xfId="0" applyFont="1" applyFill="1" applyAlignment="1">
      <alignment wrapText="1"/>
    </xf>
    <xf numFmtId="0" fontId="56" fillId="23" borderId="10" xfId="0" applyFont="1" applyFill="1" applyBorder="1" applyAlignment="1">
      <alignment vertical="center"/>
    </xf>
    <xf numFmtId="0" fontId="55" fillId="23" borderId="20" xfId="0" applyFont="1" applyFill="1" applyBorder="1" applyAlignment="1">
      <alignment horizontal="right" vertical="center" wrapText="1"/>
    </xf>
    <xf numFmtId="0" fontId="55" fillId="23" borderId="20" xfId="0" applyFont="1" applyFill="1" applyBorder="1" applyAlignment="1">
      <alignment horizontal="center" vertical="center" wrapText="1"/>
    </xf>
    <xf numFmtId="0" fontId="82" fillId="4" borderId="0" xfId="0" applyFont="1" applyFill="1"/>
    <xf numFmtId="0" fontId="55" fillId="4" borderId="20" xfId="0" applyFont="1" applyFill="1" applyBorder="1"/>
    <xf numFmtId="0" fontId="55" fillId="4" borderId="20" xfId="0" applyFont="1" applyFill="1" applyBorder="1" applyAlignment="1">
      <alignment horizontal="right" vertical="center"/>
    </xf>
    <xf numFmtId="0" fontId="55" fillId="4" borderId="20" xfId="0" quotePrefix="1" applyFont="1" applyFill="1" applyBorder="1" applyAlignment="1">
      <alignment horizontal="right" vertical="center"/>
    </xf>
    <xf numFmtId="0" fontId="82" fillId="24" borderId="0" xfId="0" applyFont="1" applyFill="1" applyAlignment="1">
      <alignment horizontal="center"/>
    </xf>
    <xf numFmtId="0" fontId="82" fillId="24" borderId="0" xfId="0" applyFont="1" applyFill="1" applyAlignment="1">
      <alignment horizontal="center" wrapText="1"/>
    </xf>
    <xf numFmtId="0" fontId="55" fillId="15" borderId="20" xfId="0" applyFont="1" applyFill="1" applyBorder="1"/>
    <xf numFmtId="0" fontId="55" fillId="15" borderId="20" xfId="0" applyFont="1" applyFill="1" applyBorder="1" applyAlignment="1">
      <alignment horizontal="right" vertical="center"/>
    </xf>
    <xf numFmtId="0" fontId="55" fillId="15" borderId="20" xfId="0" quotePrefix="1" applyFont="1" applyFill="1" applyBorder="1" applyAlignment="1">
      <alignment horizontal="right" vertical="center"/>
    </xf>
    <xf numFmtId="0" fontId="80" fillId="22" borderId="0" xfId="0" applyFont="1" applyFill="1" applyAlignment="1">
      <alignment vertical="top"/>
    </xf>
    <xf numFmtId="0" fontId="82" fillId="4" borderId="0" xfId="0" applyFont="1" applyFill="1" applyAlignment="1">
      <alignment horizontal="center"/>
    </xf>
    <xf numFmtId="168" fontId="83" fillId="4" borderId="0" xfId="1" applyNumberFormat="1" applyFont="1" applyFill="1" applyBorder="1" applyAlignment="1">
      <alignment horizontal="right"/>
    </xf>
    <xf numFmtId="168" fontId="82" fillId="4" borderId="0" xfId="1" applyNumberFormat="1" applyFont="1" applyFill="1" applyBorder="1" applyAlignment="1">
      <alignment horizontal="right"/>
    </xf>
    <xf numFmtId="9" fontId="82" fillId="4" borderId="0" xfId="2" applyFont="1" applyFill="1" applyBorder="1" applyAlignment="1">
      <alignment horizontal="right"/>
    </xf>
    <xf numFmtId="168" fontId="82" fillId="4" borderId="0" xfId="1" applyNumberFormat="1" applyFont="1" applyFill="1" applyBorder="1"/>
    <xf numFmtId="204" fontId="55" fillId="4" borderId="20" xfId="0" applyNumberFormat="1" applyFont="1" applyFill="1" applyBorder="1" applyAlignment="1">
      <alignment horizontal="right" vertical="center"/>
    </xf>
    <xf numFmtId="0" fontId="55" fillId="4" borderId="20" xfId="0" applyFont="1" applyFill="1" applyBorder="1" applyAlignment="1">
      <alignment horizontal="left" indent="1"/>
    </xf>
    <xf numFmtId="170" fontId="55" fillId="4" borderId="20" xfId="0" applyNumberFormat="1" applyFont="1" applyFill="1" applyBorder="1" applyAlignment="1">
      <alignment horizontal="right" vertical="center"/>
    </xf>
    <xf numFmtId="0" fontId="55" fillId="15" borderId="20" xfId="0" applyFont="1" applyFill="1" applyBorder="1" applyAlignment="1">
      <alignment vertical="center" wrapText="1"/>
    </xf>
    <xf numFmtId="170" fontId="55" fillId="15" borderId="20" xfId="0" applyNumberFormat="1" applyFont="1" applyFill="1" applyBorder="1" applyAlignment="1">
      <alignment horizontal="right" vertical="center"/>
    </xf>
    <xf numFmtId="0" fontId="85" fillId="4" borderId="0" xfId="0" applyFont="1" applyFill="1"/>
    <xf numFmtId="0" fontId="86" fillId="4" borderId="0" xfId="0" applyFont="1" applyFill="1"/>
    <xf numFmtId="0" fontId="57" fillId="25" borderId="0" xfId="77" applyFont="1" applyFill="1" applyBorder="1" applyAlignment="1">
      <alignment horizontal="left" vertical="center"/>
    </xf>
    <xf numFmtId="168" fontId="57" fillId="25" borderId="0" xfId="0" applyNumberFormat="1" applyFont="1" applyFill="1"/>
    <xf numFmtId="0" fontId="57" fillId="25" borderId="0" xfId="0" applyFont="1" applyFill="1"/>
    <xf numFmtId="0" fontId="44" fillId="0" borderId="0" xfId="3" applyFont="1" applyAlignment="1">
      <alignment horizontal="left"/>
    </xf>
    <xf numFmtId="0" fontId="89" fillId="0" borderId="0" xfId="3" applyFont="1" applyAlignment="1">
      <alignment horizontal="left"/>
    </xf>
    <xf numFmtId="0" fontId="89" fillId="0" borderId="8" xfId="3" applyFont="1" applyBorder="1" applyAlignment="1">
      <alignment horizontal="left"/>
    </xf>
    <xf numFmtId="0" fontId="0" fillId="0" borderId="0" xfId="0" pivotButton="1"/>
    <xf numFmtId="0" fontId="0" fillId="0" borderId="0" xfId="0" applyAlignment="1">
      <alignment horizontal="left"/>
    </xf>
    <xf numFmtId="205" fontId="0" fillId="0" borderId="0" xfId="0" applyNumberFormat="1"/>
    <xf numFmtId="164" fontId="90" fillId="0" borderId="0" xfId="0" applyNumberFormat="1" applyFont="1"/>
    <xf numFmtId="164" fontId="91" fillId="0" borderId="0" xfId="0" applyNumberFormat="1" applyFont="1"/>
    <xf numFmtId="0" fontId="2" fillId="0" borderId="0" xfId="0" applyFont="1"/>
    <xf numFmtId="168" fontId="3" fillId="0" borderId="0" xfId="1" applyNumberFormat="1" applyFont="1"/>
    <xf numFmtId="0" fontId="92" fillId="15" borderId="0" xfId="3" applyFont="1" applyFill="1"/>
    <xf numFmtId="0" fontId="76" fillId="18" borderId="0" xfId="0" applyFont="1" applyFill="1" applyAlignment="1">
      <alignment horizontal="left" vertical="top" wrapText="1"/>
    </xf>
    <xf numFmtId="0" fontId="75" fillId="18" borderId="0" xfId="0" applyFont="1" applyFill="1" applyAlignment="1">
      <alignment horizontal="left" vertical="top"/>
    </xf>
    <xf numFmtId="0" fontId="55" fillId="0" borderId="0" xfId="0" applyFont="1" applyAlignment="1">
      <alignment horizontal="left" wrapText="1"/>
    </xf>
    <xf numFmtId="201" fontId="64" fillId="0" borderId="0" xfId="1" applyNumberFormat="1" applyFont="1" applyBorder="1" applyAlignment="1" applyProtection="1">
      <alignment horizontal="center"/>
    </xf>
    <xf numFmtId="201" fontId="64" fillId="0" borderId="8" xfId="1" applyNumberFormat="1" applyFont="1" applyBorder="1" applyAlignment="1" applyProtection="1">
      <alignment horizontal="center"/>
    </xf>
    <xf numFmtId="201" fontId="71" fillId="0" borderId="6" xfId="1" applyNumberFormat="1" applyFont="1" applyFill="1" applyBorder="1" applyAlignment="1" applyProtection="1">
      <alignment horizontal="left" vertical="center" wrapText="1"/>
    </xf>
    <xf numFmtId="201" fontId="71" fillId="0" borderId="9" xfId="1" applyNumberFormat="1" applyFont="1" applyFill="1" applyBorder="1" applyAlignment="1" applyProtection="1">
      <alignment horizontal="left" vertical="center" wrapText="1"/>
    </xf>
    <xf numFmtId="0" fontId="65" fillId="0" borderId="0" xfId="3" applyFont="1" applyAlignment="1">
      <alignment horizontal="center"/>
    </xf>
    <xf numFmtId="0" fontId="67" fillId="17" borderId="0" xfId="3" applyFont="1" applyFill="1" applyAlignment="1" applyProtection="1">
      <alignment horizontal="left"/>
      <protection locked="0"/>
    </xf>
    <xf numFmtId="0" fontId="30" fillId="18" borderId="0" xfId="3" applyFont="1" applyFill="1" applyAlignment="1">
      <alignment horizontal="center"/>
    </xf>
    <xf numFmtId="0" fontId="79" fillId="21" borderId="10" xfId="144" applyFont="1" applyFill="1" applyBorder="1" applyAlignment="1">
      <alignment horizontal="center" vertical="center" wrapText="1"/>
    </xf>
    <xf numFmtId="0" fontId="79" fillId="21" borderId="11" xfId="144" applyFont="1" applyFill="1" applyBorder="1" applyAlignment="1">
      <alignment horizontal="center" vertical="center" wrapText="1"/>
    </xf>
    <xf numFmtId="0" fontId="79" fillId="21" borderId="12" xfId="144" applyFont="1" applyFill="1" applyBorder="1" applyAlignment="1">
      <alignment horizontal="center" vertical="center" wrapText="1"/>
    </xf>
  </cellXfs>
  <cellStyles count="242">
    <cellStyle name="_115 Timaru Budget" xfId="12" xr:uid="{00000000-0005-0000-0000-000000000000}"/>
    <cellStyle name="_115 Timaru Budget_1" xfId="13" xr:uid="{00000000-0005-0000-0000-000001000000}"/>
    <cellStyle name="_115 Timaru Budget_2" xfId="14" xr:uid="{00000000-0005-0000-0000-000002000000}"/>
    <cellStyle name="_115 Timaru Budget_3" xfId="15" xr:uid="{00000000-0005-0000-0000-000003000000}"/>
    <cellStyle name="_115 Timaru Budget_3 2" xfId="222" xr:uid="{FD463F68-B43F-4F26-97EE-821D898E4A0D}"/>
    <cellStyle name="_TTL Jul 07" xfId="16" xr:uid="{00000000-0005-0000-0000-000004000000}"/>
    <cellStyle name="0,0_x000d__x000a_NA_x000d__x000a_" xfId="17" xr:uid="{00000000-0005-0000-0000-000005000000}"/>
    <cellStyle name="Assumption" xfId="18" xr:uid="{00000000-0005-0000-0000-000006000000}"/>
    <cellStyle name="Assumption Currency." xfId="19" xr:uid="{00000000-0005-0000-0000-000007000000}"/>
    <cellStyle name="Assumption Date." xfId="20" xr:uid="{00000000-0005-0000-0000-000008000000}"/>
    <cellStyle name="Assumption Heading." xfId="21" xr:uid="{00000000-0005-0000-0000-000009000000}"/>
    <cellStyle name="Assumption Multiple." xfId="22" xr:uid="{00000000-0005-0000-0000-00000A000000}"/>
    <cellStyle name="Assumption Number." xfId="23" xr:uid="{00000000-0005-0000-0000-00000B000000}"/>
    <cellStyle name="Assumption Percentage." xfId="24" xr:uid="{00000000-0005-0000-0000-00000C000000}"/>
    <cellStyle name="Assumption Year." xfId="25" xr:uid="{00000000-0005-0000-0000-00000D000000}"/>
    <cellStyle name="Brand Align Left Text" xfId="26" xr:uid="{00000000-0005-0000-0000-00000E000000}"/>
    <cellStyle name="Brand Default" xfId="27" xr:uid="{00000000-0005-0000-0000-00000F000000}"/>
    <cellStyle name="Brand Default 2" xfId="28" xr:uid="{00000000-0005-0000-0000-000010000000}"/>
    <cellStyle name="Brand Percent" xfId="29" xr:uid="{00000000-0005-0000-0000-000011000000}"/>
    <cellStyle name="Brand Source" xfId="30" xr:uid="{00000000-0005-0000-0000-000012000000}"/>
    <cellStyle name="Brand Subtitle with Underline" xfId="31" xr:uid="{00000000-0005-0000-0000-000013000000}"/>
    <cellStyle name="Brand Subtitle without Underline" xfId="32" xr:uid="{00000000-0005-0000-0000-000014000000}"/>
    <cellStyle name="Brand Title" xfId="33" xr:uid="{00000000-0005-0000-0000-000015000000}"/>
    <cellStyle name="Calc - White" xfId="34" xr:uid="{00000000-0005-0000-0000-000016000000}"/>
    <cellStyle name="cComma0" xfId="35" xr:uid="{00000000-0005-0000-0000-000017000000}"/>
    <cellStyle name="cComma1" xfId="36" xr:uid="{00000000-0005-0000-0000-000018000000}"/>
    <cellStyle name="cComma2" xfId="37" xr:uid="{00000000-0005-0000-0000-000019000000}"/>
    <cellStyle name="cComma3" xfId="38" xr:uid="{00000000-0005-0000-0000-00001A000000}"/>
    <cellStyle name="cCurrency0" xfId="39" xr:uid="{00000000-0005-0000-0000-00001B000000}"/>
    <cellStyle name="cCurrency2" xfId="40" xr:uid="{00000000-0005-0000-0000-00001C000000}"/>
    <cellStyle name="cCurrency2 2" xfId="223" xr:uid="{5972CB79-AE47-4F16-8411-4608FB5DCA61}"/>
    <cellStyle name="cDateDM" xfId="41" xr:uid="{00000000-0005-0000-0000-00001D000000}"/>
    <cellStyle name="cDateDMY" xfId="42" xr:uid="{00000000-0005-0000-0000-00001E000000}"/>
    <cellStyle name="cDateMY" xfId="43" xr:uid="{00000000-0005-0000-0000-00001F000000}"/>
    <cellStyle name="cDateT24" xfId="44" xr:uid="{00000000-0005-0000-0000-000020000000}"/>
    <cellStyle name="Cell Link." xfId="45" xr:uid="{00000000-0005-0000-0000-000021000000}"/>
    <cellStyle name="Check Cell 2" xfId="46" xr:uid="{00000000-0005-0000-0000-000022000000}"/>
    <cellStyle name="Comma" xfId="1" builtinId="3"/>
    <cellStyle name="Comma [0] 2" xfId="47" xr:uid="{00000000-0005-0000-0000-000024000000}"/>
    <cellStyle name="Comma [0] 2 2" xfId="224" xr:uid="{F7F849F5-95BF-4B8C-85DF-FBF049D4042E}"/>
    <cellStyle name="Comma 10" xfId="240" xr:uid="{720B83CE-F6BA-4752-9387-0C48D4A967C0}"/>
    <cellStyle name="Comma 2" xfId="48" xr:uid="{00000000-0005-0000-0000-000025000000}"/>
    <cellStyle name="Comma 2 2" xfId="49" xr:uid="{00000000-0005-0000-0000-000026000000}"/>
    <cellStyle name="Comma 2 2 2" xfId="226" xr:uid="{6E944ADB-5BE3-4B66-8852-0E02790A080E}"/>
    <cellStyle name="Comma 2 3" xfId="225" xr:uid="{55CD0FFA-233C-4B66-921D-77DBE6BAC803}"/>
    <cellStyle name="Comma 3" xfId="50" xr:uid="{00000000-0005-0000-0000-000027000000}"/>
    <cellStyle name="Comma 3 2" xfId="227" xr:uid="{DA72172D-18D9-41FC-8572-3A281D8BF8B6}"/>
    <cellStyle name="Comma 4" xfId="51" xr:uid="{00000000-0005-0000-0000-000028000000}"/>
    <cellStyle name="Comma 4 2" xfId="228" xr:uid="{A462BFF8-328E-46BA-B0D9-DDFF172763BD}"/>
    <cellStyle name="Comma 5" xfId="11" xr:uid="{00000000-0005-0000-0000-000029000000}"/>
    <cellStyle name="Comma 5 2" xfId="221" xr:uid="{CD9BE12C-EDF0-44D2-B856-49B2362BB9A5}"/>
    <cellStyle name="Comma 6" xfId="52" xr:uid="{00000000-0005-0000-0000-00002A000000}"/>
    <cellStyle name="Comma 6 2" xfId="229" xr:uid="{66FC9544-5284-4EEC-8CF9-1CD3F2B35049}"/>
    <cellStyle name="Comma 7" xfId="53" xr:uid="{00000000-0005-0000-0000-00002B000000}"/>
    <cellStyle name="Comma 7 2" xfId="230" xr:uid="{37FEE9BA-7329-4088-8C85-93F023ED971A}"/>
    <cellStyle name="Comma 8" xfId="8" xr:uid="{00000000-0005-0000-0000-00002C000000}"/>
    <cellStyle name="Comma 8 2" xfId="218" xr:uid="{D93003B8-8C9D-4D6A-ABB4-0493F1C0B17E}"/>
    <cellStyle name="Comma 9" xfId="215" xr:uid="{5F885047-D90E-4434-8875-BC1988B65347}"/>
    <cellStyle name="Comma0" xfId="54" xr:uid="{00000000-0005-0000-0000-00002D000000}"/>
    <cellStyle name="cPercent0" xfId="55" xr:uid="{00000000-0005-0000-0000-00002E000000}"/>
    <cellStyle name="cPercent1" xfId="56" xr:uid="{00000000-0005-0000-0000-00002F000000}"/>
    <cellStyle name="cPercent2" xfId="57" xr:uid="{00000000-0005-0000-0000-000030000000}"/>
    <cellStyle name="cTextB" xfId="58" xr:uid="{00000000-0005-0000-0000-000031000000}"/>
    <cellStyle name="cTextBCen" xfId="59" xr:uid="{00000000-0005-0000-0000-000032000000}"/>
    <cellStyle name="cTextBCenSm" xfId="60" xr:uid="{00000000-0005-0000-0000-000033000000}"/>
    <cellStyle name="cTextCen" xfId="61" xr:uid="{00000000-0005-0000-0000-000034000000}"/>
    <cellStyle name="cTextGenWrap" xfId="62" xr:uid="{00000000-0005-0000-0000-000035000000}"/>
    <cellStyle name="cTextI" xfId="63" xr:uid="{00000000-0005-0000-0000-000036000000}"/>
    <cellStyle name="cTextSm" xfId="64" xr:uid="{00000000-0005-0000-0000-000037000000}"/>
    <cellStyle name="cTextSmWrap" xfId="65" xr:uid="{00000000-0005-0000-0000-000038000000}"/>
    <cellStyle name="cTextU" xfId="66" xr:uid="{00000000-0005-0000-0000-000039000000}"/>
    <cellStyle name="Currency 2" xfId="67" xr:uid="{00000000-0005-0000-0000-00003A000000}"/>
    <cellStyle name="Currency 2 2" xfId="231" xr:uid="{1C85080A-92B2-426C-852B-D296E984E953}"/>
    <cellStyle name="Currency 3" xfId="7" xr:uid="{00000000-0005-0000-0000-00003B000000}"/>
    <cellStyle name="Currency 3 2" xfId="217" xr:uid="{0DA07C30-594B-494F-A907-F054E5E10821}"/>
    <cellStyle name="Currency 4" xfId="10" xr:uid="{00000000-0005-0000-0000-00003C000000}"/>
    <cellStyle name="Currency 4 2" xfId="220" xr:uid="{C5B53F79-30B5-4908-A885-72C9E899BB4A}"/>
    <cellStyle name="Currency 5" xfId="241" xr:uid="{7D2B25A8-977D-4488-9EAF-F12A9A4D3263}"/>
    <cellStyle name="Currency." xfId="68" xr:uid="{00000000-0005-0000-0000-00003D000000}"/>
    <cellStyle name="Currency0" xfId="69" xr:uid="{00000000-0005-0000-0000-00003E000000}"/>
    <cellStyle name="Currency0 2" xfId="232" xr:uid="{85E45367-23E8-421F-A27B-5E9DD9692B10}"/>
    <cellStyle name="Date" xfId="70" xr:uid="{00000000-0005-0000-0000-00003F000000}"/>
    <cellStyle name="Date." xfId="71" xr:uid="{00000000-0005-0000-0000-000040000000}"/>
    <cellStyle name="Fixed" xfId="72" xr:uid="{00000000-0005-0000-0000-000041000000}"/>
    <cellStyle name="Grey" xfId="73" xr:uid="{00000000-0005-0000-0000-000042000000}"/>
    <cellStyle name="Header_1" xfId="74" xr:uid="{00000000-0005-0000-0000-000043000000}"/>
    <cellStyle name="Heading 1." xfId="75" xr:uid="{00000000-0005-0000-0000-000044000000}"/>
    <cellStyle name="Heading 2." xfId="76" xr:uid="{00000000-0005-0000-0000-000045000000}"/>
    <cellStyle name="Heading 3." xfId="77" xr:uid="{00000000-0005-0000-0000-000046000000}"/>
    <cellStyle name="Heading 4." xfId="78" xr:uid="{00000000-0005-0000-0000-000047000000}"/>
    <cellStyle name="Hyperlink" xfId="4" builtinId="8"/>
    <cellStyle name="Hyperlink Arrow." xfId="79" xr:uid="{00000000-0005-0000-0000-000049000000}"/>
    <cellStyle name="Hyperlink Check." xfId="80" xr:uid="{00000000-0005-0000-0000-00004A000000}"/>
    <cellStyle name="Hyperlink Text." xfId="81" xr:uid="{00000000-0005-0000-0000-00004B000000}"/>
    <cellStyle name="Hyperlink TOC 1." xfId="82" xr:uid="{00000000-0005-0000-0000-00004C000000}"/>
    <cellStyle name="Hyperlink TOC 2." xfId="83" xr:uid="{00000000-0005-0000-0000-00004D000000}"/>
    <cellStyle name="Hyperlink TOC 3." xfId="84" xr:uid="{00000000-0005-0000-0000-00004E000000}"/>
    <cellStyle name="Hyperlink TOC 4." xfId="85" xr:uid="{00000000-0005-0000-0000-00004F000000}"/>
    <cellStyle name="iComma0" xfId="86" xr:uid="{00000000-0005-0000-0000-000050000000}"/>
    <cellStyle name="iComma1" xfId="87" xr:uid="{00000000-0005-0000-0000-000051000000}"/>
    <cellStyle name="iComma2" xfId="88" xr:uid="{00000000-0005-0000-0000-000052000000}"/>
    <cellStyle name="iComma3" xfId="89" xr:uid="{00000000-0005-0000-0000-000053000000}"/>
    <cellStyle name="iCurrency0" xfId="90" xr:uid="{00000000-0005-0000-0000-000054000000}"/>
    <cellStyle name="iCurrency2" xfId="91" xr:uid="{00000000-0005-0000-0000-000055000000}"/>
    <cellStyle name="iCurrency2 2" xfId="233" xr:uid="{1030B5EA-5763-4623-ABE9-E04D19933A9C}"/>
    <cellStyle name="iDateDM" xfId="92" xr:uid="{00000000-0005-0000-0000-000056000000}"/>
    <cellStyle name="iDateDMY" xfId="93" xr:uid="{00000000-0005-0000-0000-000057000000}"/>
    <cellStyle name="iDateMY" xfId="94" xr:uid="{00000000-0005-0000-0000-000058000000}"/>
    <cellStyle name="iDateT24" xfId="95" xr:uid="{00000000-0005-0000-0000-000059000000}"/>
    <cellStyle name="Inp%0" xfId="96" xr:uid="{00000000-0005-0000-0000-00005A000000}"/>
    <cellStyle name="Inp%1" xfId="97" xr:uid="{00000000-0005-0000-0000-00005B000000}"/>
    <cellStyle name="Inp%2" xfId="98" xr:uid="{00000000-0005-0000-0000-00005C000000}"/>
    <cellStyle name="Inp,0" xfId="99" xr:uid="{00000000-0005-0000-0000-00005D000000}"/>
    <cellStyle name="Inp,1" xfId="100" xr:uid="{00000000-0005-0000-0000-00005E000000}"/>
    <cellStyle name="Inp,2" xfId="101" xr:uid="{00000000-0005-0000-0000-00005F000000}"/>
    <cellStyle name="Input [yellow]" xfId="102" xr:uid="{00000000-0005-0000-0000-000060000000}"/>
    <cellStyle name="Input 1" xfId="103" xr:uid="{00000000-0005-0000-0000-000061000000}"/>
    <cellStyle name="Input 2" xfId="104" xr:uid="{00000000-0005-0000-0000-000062000000}"/>
    <cellStyle name="iPercent0" xfId="105" xr:uid="{00000000-0005-0000-0000-000063000000}"/>
    <cellStyle name="iPercent1" xfId="106" xr:uid="{00000000-0005-0000-0000-000064000000}"/>
    <cellStyle name="iPercent2" xfId="107" xr:uid="{00000000-0005-0000-0000-000065000000}"/>
    <cellStyle name="iTextB" xfId="108" xr:uid="{00000000-0005-0000-0000-000066000000}"/>
    <cellStyle name="iTextCen" xfId="109" xr:uid="{00000000-0005-0000-0000-000067000000}"/>
    <cellStyle name="iTextGen" xfId="110" xr:uid="{00000000-0005-0000-0000-000068000000}"/>
    <cellStyle name="iTextGenProt" xfId="111" xr:uid="{00000000-0005-0000-0000-000069000000}"/>
    <cellStyle name="iTextGenWrap" xfId="112" xr:uid="{00000000-0005-0000-0000-00006A000000}"/>
    <cellStyle name="iTextI" xfId="113" xr:uid="{00000000-0005-0000-0000-00006B000000}"/>
    <cellStyle name="iTextSm" xfId="114" xr:uid="{00000000-0005-0000-0000-00006C000000}"/>
    <cellStyle name="iTextU" xfId="115" xr:uid="{00000000-0005-0000-0000-00006D000000}"/>
    <cellStyle name="LABEL Normal" xfId="116" xr:uid="{00000000-0005-0000-0000-00006E000000}"/>
    <cellStyle name="LABEL Note" xfId="117" xr:uid="{00000000-0005-0000-0000-00006F000000}"/>
    <cellStyle name="Line_Summary" xfId="118" xr:uid="{00000000-0005-0000-0000-000070000000}"/>
    <cellStyle name="Lookup Table Heading." xfId="119" xr:uid="{00000000-0005-0000-0000-000071000000}"/>
    <cellStyle name="Lookup Table Label." xfId="120" xr:uid="{00000000-0005-0000-0000-000072000000}"/>
    <cellStyle name="Lookup Table Number." xfId="121" xr:uid="{00000000-0005-0000-0000-000073000000}"/>
    <cellStyle name="Millares [0]_A" xfId="122" xr:uid="{00000000-0005-0000-0000-000074000000}"/>
    <cellStyle name="Millares_A" xfId="123" xr:uid="{00000000-0005-0000-0000-000075000000}"/>
    <cellStyle name="Model Name." xfId="124" xr:uid="{00000000-0005-0000-0000-000076000000}"/>
    <cellStyle name="Moneda [0]_A" xfId="125" xr:uid="{00000000-0005-0000-0000-000077000000}"/>
    <cellStyle name="Moneda_A" xfId="126" xr:uid="{00000000-0005-0000-0000-000078000000}"/>
    <cellStyle name="Multiple." xfId="127" xr:uid="{00000000-0005-0000-0000-000079000000}"/>
    <cellStyle name="Nml%0" xfId="128" xr:uid="{00000000-0005-0000-0000-00007A000000}"/>
    <cellStyle name="Nml%1" xfId="129" xr:uid="{00000000-0005-0000-0000-00007B000000}"/>
    <cellStyle name="Nml%2" xfId="130" xr:uid="{00000000-0005-0000-0000-00007C000000}"/>
    <cellStyle name="Nml,0" xfId="131" xr:uid="{00000000-0005-0000-0000-00007D000000}"/>
    <cellStyle name="Nml,1" xfId="132" xr:uid="{00000000-0005-0000-0000-00007E000000}"/>
    <cellStyle name="Nml,2" xfId="133" xr:uid="{00000000-0005-0000-0000-00007F000000}"/>
    <cellStyle name="Normal" xfId="0" builtinId="0"/>
    <cellStyle name="Normal - Style1" xfId="134" xr:uid="{00000000-0005-0000-0000-000081000000}"/>
    <cellStyle name="Normal 10" xfId="3" xr:uid="{00000000-0005-0000-0000-000082000000}"/>
    <cellStyle name="Normal 11" xfId="135" xr:uid="{00000000-0005-0000-0000-000083000000}"/>
    <cellStyle name="Normal 12" xfId="136" xr:uid="{00000000-0005-0000-0000-000084000000}"/>
    <cellStyle name="Normal 13" xfId="137" xr:uid="{00000000-0005-0000-0000-000085000000}"/>
    <cellStyle name="Normal 14" xfId="138" xr:uid="{00000000-0005-0000-0000-000086000000}"/>
    <cellStyle name="Normal 15" xfId="139" xr:uid="{00000000-0005-0000-0000-000087000000}"/>
    <cellStyle name="Normal 16" xfId="140" xr:uid="{00000000-0005-0000-0000-000088000000}"/>
    <cellStyle name="Normal 17" xfId="141" xr:uid="{00000000-0005-0000-0000-000089000000}"/>
    <cellStyle name="Normal 18" xfId="142" xr:uid="{00000000-0005-0000-0000-00008A000000}"/>
    <cellStyle name="Normal 19" xfId="143" xr:uid="{00000000-0005-0000-0000-00008B000000}"/>
    <cellStyle name="Normal 2" xfId="144" xr:uid="{00000000-0005-0000-0000-00008C000000}"/>
    <cellStyle name="Normal 2 2" xfId="145" xr:uid="{00000000-0005-0000-0000-00008D000000}"/>
    <cellStyle name="Normal 2 3" xfId="146" xr:uid="{00000000-0005-0000-0000-00008E000000}"/>
    <cellStyle name="Normal 2 4" xfId="147" xr:uid="{00000000-0005-0000-0000-00008F000000}"/>
    <cellStyle name="Normal 2 5" xfId="6" xr:uid="{00000000-0005-0000-0000-000090000000}"/>
    <cellStyle name="Normal 2 5 2" xfId="216" xr:uid="{174D8848-AF8A-4972-9D53-C29FFFD6EEFA}"/>
    <cellStyle name="Normal 20" xfId="148" xr:uid="{00000000-0005-0000-0000-000091000000}"/>
    <cellStyle name="Normal 21" xfId="149" xr:uid="{00000000-0005-0000-0000-000092000000}"/>
    <cellStyle name="Normal 22" xfId="150" xr:uid="{00000000-0005-0000-0000-000093000000}"/>
    <cellStyle name="Normal 23" xfId="151" xr:uid="{00000000-0005-0000-0000-000094000000}"/>
    <cellStyle name="Normal 24" xfId="152" xr:uid="{00000000-0005-0000-0000-000095000000}"/>
    <cellStyle name="Normal 24 2" xfId="234" xr:uid="{CF016F26-2349-416D-A373-B0E653759993}"/>
    <cellStyle name="Normal 25" xfId="153" xr:uid="{00000000-0005-0000-0000-000096000000}"/>
    <cellStyle name="Normal 26" xfId="154" xr:uid="{00000000-0005-0000-0000-000097000000}"/>
    <cellStyle name="Normal 27" xfId="155" xr:uid="{00000000-0005-0000-0000-000098000000}"/>
    <cellStyle name="Normal 27 2" xfId="235" xr:uid="{D80807C8-113B-4B09-8AB9-3A94621A7025}"/>
    <cellStyle name="Normal 28" xfId="156" xr:uid="{00000000-0005-0000-0000-000099000000}"/>
    <cellStyle name="Normal 29" xfId="157" xr:uid="{00000000-0005-0000-0000-00009A000000}"/>
    <cellStyle name="Normal 29 2" xfId="236" xr:uid="{1311DE9A-F6D3-4F2A-B922-5D3473D384DD}"/>
    <cellStyle name="Normal 3" xfId="158" xr:uid="{00000000-0005-0000-0000-00009B000000}"/>
    <cellStyle name="Normal 30" xfId="159" xr:uid="{00000000-0005-0000-0000-00009C000000}"/>
    <cellStyle name="Normal 4" xfId="160" xr:uid="{00000000-0005-0000-0000-00009D000000}"/>
    <cellStyle name="Normal 4 2" xfId="161" xr:uid="{00000000-0005-0000-0000-00009E000000}"/>
    <cellStyle name="Normal 5" xfId="162" xr:uid="{00000000-0005-0000-0000-00009F000000}"/>
    <cellStyle name="Normal 6" xfId="163" xr:uid="{00000000-0005-0000-0000-0000A0000000}"/>
    <cellStyle name="Normal 6 2" xfId="164" xr:uid="{00000000-0005-0000-0000-0000A1000000}"/>
    <cellStyle name="Normal 7" xfId="165" xr:uid="{00000000-0005-0000-0000-0000A2000000}"/>
    <cellStyle name="Normal 8" xfId="166" xr:uid="{00000000-0005-0000-0000-0000A3000000}"/>
    <cellStyle name="Normal 9" xfId="167" xr:uid="{00000000-0005-0000-0000-0000A4000000}"/>
    <cellStyle name="Number" xfId="168" xr:uid="{00000000-0005-0000-0000-0000A5000000}"/>
    <cellStyle name="Number 2" xfId="237" xr:uid="{B56BDD81-13C8-4EC4-B9F7-5DED0CCDED6B}"/>
    <cellStyle name="Number." xfId="169" xr:uid="{00000000-0005-0000-0000-0000A6000000}"/>
    <cellStyle name="Percent" xfId="2" builtinId="5"/>
    <cellStyle name="Percent [2]" xfId="170" xr:uid="{00000000-0005-0000-0000-0000A8000000}"/>
    <cellStyle name="Percent 2" xfId="171" xr:uid="{00000000-0005-0000-0000-0000A9000000}"/>
    <cellStyle name="Percent 2 2" xfId="5" xr:uid="{00000000-0005-0000-0000-0000AA000000}"/>
    <cellStyle name="Percent 2 3" xfId="238" xr:uid="{B68AD492-FCA8-4377-8DCE-5FE983E38641}"/>
    <cellStyle name="Percent 3" xfId="172" xr:uid="{00000000-0005-0000-0000-0000AB000000}"/>
    <cellStyle name="Percent 3 2" xfId="239" xr:uid="{8AF351DA-DDEE-4C8E-9884-06949ACE22B3}"/>
    <cellStyle name="Percent 4" xfId="173" xr:uid="{00000000-0005-0000-0000-0000AC000000}"/>
    <cellStyle name="Percent 5" xfId="9" xr:uid="{00000000-0005-0000-0000-0000AD000000}"/>
    <cellStyle name="Percent 5 2" xfId="219" xr:uid="{E31DA101-D49C-49CA-84ED-1F7DDA1A82CB}"/>
    <cellStyle name="Percentage." xfId="174" xr:uid="{00000000-0005-0000-0000-0000AE000000}"/>
    <cellStyle name="Period Title." xfId="175" xr:uid="{00000000-0005-0000-0000-0000AF000000}"/>
    <cellStyle name="Presentation Currency." xfId="176" xr:uid="{00000000-0005-0000-0000-0000B0000000}"/>
    <cellStyle name="Presentation Date." xfId="177" xr:uid="{00000000-0005-0000-0000-0000B1000000}"/>
    <cellStyle name="Presentation Heading 1." xfId="178" xr:uid="{00000000-0005-0000-0000-0000B2000000}"/>
    <cellStyle name="Presentation Heading 2." xfId="179" xr:uid="{00000000-0005-0000-0000-0000B3000000}"/>
    <cellStyle name="Presentation Heading 3." xfId="180" xr:uid="{00000000-0005-0000-0000-0000B4000000}"/>
    <cellStyle name="Presentation Heading 4." xfId="181" xr:uid="{00000000-0005-0000-0000-0000B5000000}"/>
    <cellStyle name="Presentation Hyperlink Arrow." xfId="182" xr:uid="{00000000-0005-0000-0000-0000B6000000}"/>
    <cellStyle name="Presentation Hyperlink Check." xfId="183" xr:uid="{00000000-0005-0000-0000-0000B7000000}"/>
    <cellStyle name="Presentation Hyperlink Text." xfId="184" xr:uid="{00000000-0005-0000-0000-0000B8000000}"/>
    <cellStyle name="Presentation Model Name." xfId="185" xr:uid="{00000000-0005-0000-0000-0000B9000000}"/>
    <cellStyle name="Presentation Multiple." xfId="186" xr:uid="{00000000-0005-0000-0000-0000BA000000}"/>
    <cellStyle name="Presentation Normal." xfId="187" xr:uid="{00000000-0005-0000-0000-0000BB000000}"/>
    <cellStyle name="Presentation Number." xfId="188" xr:uid="{00000000-0005-0000-0000-0000BC000000}"/>
    <cellStyle name="Presentation Percentage." xfId="189" xr:uid="{00000000-0005-0000-0000-0000BD000000}"/>
    <cellStyle name="Presentation Period Title." xfId="190" xr:uid="{00000000-0005-0000-0000-0000BE000000}"/>
    <cellStyle name="Presentation Section Number." xfId="191" xr:uid="{00000000-0005-0000-0000-0000BF000000}"/>
    <cellStyle name="Presentation Sheet Title." xfId="192" xr:uid="{00000000-0005-0000-0000-0000C0000000}"/>
    <cellStyle name="Presentation Sub Total." xfId="193" xr:uid="{00000000-0005-0000-0000-0000C1000000}"/>
    <cellStyle name="Presentation TOC 1." xfId="194" xr:uid="{00000000-0005-0000-0000-0000C2000000}"/>
    <cellStyle name="Presentation TOC 2." xfId="195" xr:uid="{00000000-0005-0000-0000-0000C3000000}"/>
    <cellStyle name="Presentation TOC 3." xfId="196" xr:uid="{00000000-0005-0000-0000-0000C4000000}"/>
    <cellStyle name="Presentation TOC 4." xfId="197" xr:uid="{00000000-0005-0000-0000-0000C5000000}"/>
    <cellStyle name="Presentation Year." xfId="198" xr:uid="{00000000-0005-0000-0000-0000C6000000}"/>
    <cellStyle name="Section Number." xfId="199" xr:uid="{00000000-0005-0000-0000-0000C7000000}"/>
    <cellStyle name="Selection_Cell" xfId="200" xr:uid="{00000000-0005-0000-0000-0000C8000000}"/>
    <cellStyle name="Sheet Title." xfId="201" xr:uid="{00000000-0005-0000-0000-0000C9000000}"/>
    <cellStyle name="Standaard_Balance sheet" xfId="202" xr:uid="{00000000-0005-0000-0000-0000CA000000}"/>
    <cellStyle name="Style 1" xfId="203" xr:uid="{00000000-0005-0000-0000-0000CB000000}"/>
    <cellStyle name="Sub Total." xfId="204" xr:uid="{00000000-0005-0000-0000-0000CC000000}"/>
    <cellStyle name="SummaryHdgs" xfId="205" xr:uid="{00000000-0005-0000-0000-0000CD000000}"/>
    <cellStyle name="TIME Period Start" xfId="206" xr:uid="{00000000-0005-0000-0000-0000CE000000}"/>
    <cellStyle name="Unit" xfId="207" xr:uid="{00000000-0005-0000-0000-0000CF000000}"/>
    <cellStyle name="Unlocked" xfId="208" xr:uid="{00000000-0005-0000-0000-0000D0000000}"/>
    <cellStyle name="xHeading" xfId="209" xr:uid="{00000000-0005-0000-0000-0000D1000000}"/>
    <cellStyle name="xHeadingCen" xfId="210" xr:uid="{00000000-0005-0000-0000-0000D2000000}"/>
    <cellStyle name="xHeadingVer" xfId="211" xr:uid="{00000000-0005-0000-0000-0000D3000000}"/>
    <cellStyle name="xRangeName" xfId="212" xr:uid="{00000000-0005-0000-0000-0000D4000000}"/>
    <cellStyle name="xTitle" xfId="213" xr:uid="{00000000-0005-0000-0000-0000D5000000}"/>
    <cellStyle name="Year." xfId="214" xr:uid="{00000000-0005-0000-0000-0000D6000000}"/>
  </cellStyles>
  <dxfs count="8">
    <dxf>
      <font>
        <b/>
      </font>
    </dxf>
    <dxf>
      <numFmt numFmtId="164" formatCode="&quot;$&quot;#,##0_);\(&quot;$&quot;#,##0\)"/>
    </dxf>
    <dxf>
      <numFmt numFmtId="164" formatCode="&quot;$&quot;#,##0_);\(&quot;$&quot;#,##0\)"/>
    </dxf>
    <dxf>
      <numFmt numFmtId="170" formatCode="&quot;$&quot;#,##0"/>
    </dxf>
    <dxf>
      <numFmt numFmtId="32" formatCode="_-&quot;$&quot;* #,##0_-;\-&quot;$&quot;* #,##0_-;_-&quot;$&quot;* &quot;-&quot;_-;_-@_-"/>
    </dxf>
    <dxf>
      <font>
        <color theme="1" tint="0.249977111117893"/>
      </font>
    </dxf>
    <dxf>
      <numFmt numFmtId="205" formatCode="&quot;$&quot;#,##0;[Red]&quot;$&quot;#,##0"/>
    </dxf>
    <dxf>
      <numFmt numFmtId="205" formatCode="&quot;$&quot;#,##0;[Red]&quot;$&quot;#,##0"/>
    </dxf>
  </dxfs>
  <tableStyles count="0" defaultTableStyle="TableStyleMedium2" defaultPivotStyle="PivotStyleLight16"/>
  <colors>
    <mruColors>
      <color rgb="FF003E52"/>
      <color rgb="FFFFF5C9"/>
      <color rgb="FFFFCC00"/>
      <color rgb="FFF3FCFF"/>
      <color rgb="FF005A76"/>
      <color rgb="FF007776"/>
      <color rgb="FFFF3300"/>
      <color rgb="FFFFFFCC"/>
      <color rgb="FFFFF2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314106</xdr:colOff>
      <xdr:row>5</xdr:row>
      <xdr:rowOff>7089</xdr:rowOff>
    </xdr:to>
    <xdr:pic>
      <xdr:nvPicPr>
        <xdr:cNvPr id="5" name="Picture 4">
          <a:extLst>
            <a:ext uri="{FF2B5EF4-FFF2-40B4-BE49-F238E27FC236}">
              <a16:creationId xmlns:a16="http://schemas.microsoft.com/office/drawing/2014/main" id="{2587843E-060D-412D-53E6-DD728D0C3B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362106" cy="8405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166688</xdr:colOff>
      <xdr:row>26</xdr:row>
      <xdr:rowOff>11905</xdr:rowOff>
    </xdr:from>
    <xdr:to>
      <xdr:col>20</xdr:col>
      <xdr:colOff>202406</xdr:colOff>
      <xdr:row>38</xdr:row>
      <xdr:rowOff>142874</xdr:rowOff>
    </xdr:to>
    <xdr:sp macro="" textlink="">
      <xdr:nvSpPr>
        <xdr:cNvPr id="3" name="TextBox 2">
          <a:extLst>
            <a:ext uri="{FF2B5EF4-FFF2-40B4-BE49-F238E27FC236}">
              <a16:creationId xmlns:a16="http://schemas.microsoft.com/office/drawing/2014/main" id="{AA4FFE80-F0C4-420F-8977-9006E64B311D}"/>
            </a:ext>
          </a:extLst>
        </xdr:cNvPr>
        <xdr:cNvSpPr txBox="1"/>
      </xdr:nvSpPr>
      <xdr:spPr>
        <a:xfrm>
          <a:off x="17895094" y="4464843"/>
          <a:ext cx="3762375" cy="21312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100" b="1">
              <a:solidFill>
                <a:srgbClr val="FF0000"/>
              </a:solidFill>
            </a:rPr>
            <a:t>** Goods and Services Tax (GST) **</a:t>
          </a:r>
        </a:p>
        <a:p>
          <a:r>
            <a:rPr lang="en-NZ" sz="1100"/>
            <a:t>It is assumed that the</a:t>
          </a:r>
          <a:r>
            <a:rPr lang="en-NZ" sz="1100" baseline="0"/>
            <a:t> development and operational costs entered into this financial model relating to the properties </a:t>
          </a:r>
          <a:r>
            <a:rPr lang="en-NZ" sz="1100" b="1" baseline="0"/>
            <a:t>include GST</a:t>
          </a:r>
          <a:r>
            <a:rPr lang="en-NZ" sz="1100" baseline="0"/>
            <a:t>, on the basis that Residential Accommodation is GST exempt (i.e., </a:t>
          </a:r>
          <a:r>
            <a:rPr lang="en-NZ" sz="1100" b="0" i="0">
              <a:solidFill>
                <a:schemeClr val="dk1"/>
              </a:solidFill>
              <a:effectLst/>
              <a:latin typeface="+mn-lt"/>
              <a:ea typeface="+mn-ea"/>
              <a:cs typeface="+mn-cs"/>
            </a:rPr>
            <a:t>no GST input credit is claimed).</a:t>
          </a:r>
          <a:endParaRPr lang="en-NZ" sz="1100" baseline="0"/>
        </a:p>
        <a:p>
          <a:endParaRPr lang="en-NZ" sz="300" baseline="0"/>
        </a:p>
        <a:p>
          <a:r>
            <a:rPr lang="en-NZ" sz="1100" baseline="0"/>
            <a:t>If you have entered values based on an alternative GST view please explain in the Application form (section 6).</a:t>
          </a:r>
        </a:p>
        <a:p>
          <a:endParaRPr lang="en-NZ" sz="300" baseline="0"/>
        </a:p>
        <a:p>
          <a:r>
            <a:rPr lang="en-NZ" sz="1100" baseline="0">
              <a:solidFill>
                <a:schemeClr val="dk1"/>
              </a:solidFill>
              <a:effectLst/>
              <a:latin typeface="+mn-lt"/>
              <a:ea typeface="+mn-ea"/>
              <a:cs typeface="+mn-cs"/>
            </a:rPr>
            <a:t>The above does not constitute tax advice. You should consult your accountant or tax advisor for independent advice. </a:t>
          </a:r>
        </a:p>
        <a:p>
          <a:endParaRPr lang="en-NZ" sz="300" baseline="0">
            <a:solidFill>
              <a:schemeClr val="dk1"/>
            </a:solidFill>
            <a:effectLst/>
            <a:latin typeface="+mn-lt"/>
            <a:ea typeface="+mn-ea"/>
            <a:cs typeface="+mn-cs"/>
          </a:endParaRPr>
        </a:p>
        <a:p>
          <a:r>
            <a:rPr lang="en-NZ" sz="1100" baseline="0">
              <a:solidFill>
                <a:schemeClr val="dk1"/>
              </a:solidFill>
              <a:effectLst/>
              <a:latin typeface="+mn-lt"/>
              <a:ea typeface="+mn-ea"/>
              <a:cs typeface="+mn-cs"/>
            </a:rPr>
            <a:t>GST - https://auditnz.govt.nz/publications-resources/tax/land-sales-and-purchases</a:t>
          </a:r>
        </a:p>
        <a:p>
          <a:endParaRPr lang="en-NZ">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GuyBrock1/01%20Financial%20Modelling%20Project/10%20Rail%20Models/Rail%20Model%20Working%20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AppData/Local/Microsoft/Windows/INetCache/Content.Outlook/9KFAL51T/Projects/xyz%20Evaluation%20Model%20v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New%20Supply%20Evaluation%20Model%20v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o Add"/>
      <sheetName val="Contents"/>
      <sheetName val="Overview_SC"/>
      <sheetName val="Notes_SSC"/>
      <sheetName val="Notes_BO"/>
      <sheetName val="Standards_MS"/>
      <sheetName val="Keys_SSC"/>
      <sheetName val="Keys_BO"/>
      <sheetName val="Assumptions_SC"/>
      <sheetName val="TS_Ass_SSC"/>
      <sheetName val="TS_BA"/>
      <sheetName val="Hist_Ass_SSC"/>
      <sheetName val="IS_Hist_TA"/>
      <sheetName val="BS_Hist_TA"/>
      <sheetName val="CFS_Hist_TA"/>
      <sheetName val="Fcast_Ass_SSC"/>
      <sheetName val="His_FleetKM"/>
      <sheetName val="Fcast_FleetConfig_TA"/>
      <sheetName val="Fcast_FleetRoute_TA"/>
      <sheetName val="Fcast_FleetRoute_alt"/>
      <sheetName val="Fcast_Peak_38"/>
      <sheetName val="Fcast_Peak_57BC"/>
      <sheetName val="Fcast_Peak_57GB"/>
      <sheetName val="Fcast_FleetKM_TA"/>
      <sheetName val="Fcast_Pax_TA"/>
      <sheetName val="Fcast_Capacity_TA"/>
      <sheetName val="Fcast_Demand_Supply_TA"/>
      <sheetName val="Fcast_Revenue_TA"/>
      <sheetName val="Fcast_Energy_TA"/>
      <sheetName val="Fcast_OtherRevCosts_TA"/>
      <sheetName val="Fcast_Maintenance_TA"/>
      <sheetName val="Fcast_Exist_Capex_TA"/>
      <sheetName val="Fcast_New Capex_TA"/>
      <sheetName val="Fcast_Renewal Capex_TA"/>
      <sheetName val="Fcast_EMU_Depot_TA"/>
      <sheetName val="Fcast_TA"/>
      <sheetName val="Outputs_SC"/>
      <sheetName val="Hist_OP_SSC"/>
      <sheetName val="IS_Hist_TO"/>
      <sheetName val="BS_Hist_TO"/>
      <sheetName val="CFS_Hist_TO"/>
      <sheetName val="Fcast_OP_SSC"/>
      <sheetName val="Fcast_OP_TO"/>
      <sheetName val="IS_Fcast_TO"/>
      <sheetName val="BS_Fcast_TO"/>
      <sheetName val="CFS_Fcast_TO"/>
      <sheetName val="All_Pers_OP_SSC"/>
      <sheetName val="IS_All_TO"/>
      <sheetName val="BS_All_TO"/>
      <sheetName val="CFS_All_TO"/>
      <sheetName val="Dashboards_SSC"/>
      <sheetName val="BS_Sum_P_MS"/>
      <sheetName val="Appendices_SC"/>
      <sheetName val="Checks_SSC"/>
      <sheetName val="Checks_BO"/>
      <sheetName val="LU_SSC"/>
      <sheetName val="TS_LU"/>
      <sheetName val="Capital_LU"/>
      <sheetName val="Dashboards_LU"/>
    </sheetNames>
    <sheetDataSet>
      <sheetData sheetId="0">
        <row r="10">
          <cell r="C10" t="str">
            <v>Rail Model</v>
          </cell>
        </row>
      </sheetData>
      <sheetData sheetId="1"/>
      <sheetData sheetId="2"/>
      <sheetData sheetId="3"/>
      <sheetData sheetId="4"/>
      <sheetData sheetId="5"/>
      <sheetData sheetId="6"/>
      <sheetData sheetId="7"/>
      <sheetData sheetId="8">
        <row r="7">
          <cell r="B7" t="str">
            <v>Formats &amp; Styles Key</v>
          </cell>
        </row>
        <row r="54">
          <cell r="B54" t="str">
            <v>Sheet Naming Key</v>
          </cell>
        </row>
        <row r="102">
          <cell r="B102" t="str">
            <v>Range Naming Key</v>
          </cell>
        </row>
      </sheetData>
      <sheetData sheetId="9"/>
      <sheetData sheetId="10"/>
      <sheetData sheetId="11">
        <row r="12">
          <cell r="J12" t="str">
            <v>Annual</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16">
          <cell r="B16" t="str">
            <v>Operational - Assumptions</v>
          </cell>
        </row>
        <row r="29">
          <cell r="B29" t="str">
            <v>Working Capital - Assumptions</v>
          </cell>
        </row>
        <row r="45">
          <cell r="B45" t="str">
            <v>Assets - Assumptions</v>
          </cell>
        </row>
        <row r="58">
          <cell r="B58" t="str">
            <v>Capital - Assumptions</v>
          </cell>
        </row>
        <row r="106">
          <cell r="B106" t="str">
            <v>Taxation - Assumptions</v>
          </cell>
        </row>
        <row r="123">
          <cell r="B123" t="str">
            <v>Other Balance Sheet Items - Assumptions</v>
          </cell>
        </row>
      </sheetData>
      <sheetData sheetId="37"/>
      <sheetData sheetId="38"/>
      <sheetData sheetId="39"/>
      <sheetData sheetId="40">
        <row r="1">
          <cell r="B1" t="str">
            <v>Balance Sheet - Historical Outputs</v>
          </cell>
        </row>
        <row r="75">
          <cell r="H75">
            <v>0</v>
          </cell>
        </row>
      </sheetData>
      <sheetData sheetId="41"/>
      <sheetData sheetId="42"/>
      <sheetData sheetId="43">
        <row r="16">
          <cell r="B16" t="str">
            <v>Operational - Outputs</v>
          </cell>
        </row>
        <row r="24">
          <cell r="B24" t="str">
            <v>Working Capital - Outputs</v>
          </cell>
        </row>
        <row r="26">
          <cell r="C26" t="str">
            <v>Accounts Receivable Balances ($'000)</v>
          </cell>
        </row>
        <row r="41">
          <cell r="I41">
            <v>0</v>
          </cell>
        </row>
        <row r="43">
          <cell r="C43" t="str">
            <v>Accounts Payable Balances ($'000)</v>
          </cell>
        </row>
        <row r="58">
          <cell r="I58">
            <v>0</v>
          </cell>
        </row>
        <row r="61">
          <cell r="B61" t="str">
            <v>Assets - Outputs</v>
          </cell>
        </row>
        <row r="63">
          <cell r="C63" t="str">
            <v>Assets Balances ($'000)</v>
          </cell>
        </row>
        <row r="73">
          <cell r="I73">
            <v>0</v>
          </cell>
        </row>
        <row r="75">
          <cell r="C75" t="str">
            <v>Intangibles Balances ($'000)</v>
          </cell>
        </row>
        <row r="85">
          <cell r="I85">
            <v>0</v>
          </cell>
        </row>
        <row r="88">
          <cell r="B88" t="str">
            <v>Capital - Outputs</v>
          </cell>
        </row>
        <row r="116">
          <cell r="C116" t="str">
            <v>Ordinary Equity - Outputs</v>
          </cell>
        </row>
        <row r="135">
          <cell r="I135">
            <v>0</v>
          </cell>
        </row>
        <row r="137">
          <cell r="I137">
            <v>0</v>
          </cell>
        </row>
        <row r="157">
          <cell r="B157" t="str">
            <v>Taxation - Output Summary</v>
          </cell>
        </row>
        <row r="182">
          <cell r="B182" t="str">
            <v>Other Balance Sheet Items - Outputs</v>
          </cell>
        </row>
      </sheetData>
      <sheetData sheetId="44">
        <row r="1">
          <cell r="B1" t="str">
            <v>Income Statement - Forecast Outputs</v>
          </cell>
        </row>
        <row r="54">
          <cell r="I54">
            <v>0</v>
          </cell>
        </row>
      </sheetData>
      <sheetData sheetId="45">
        <row r="1">
          <cell r="B1" t="str">
            <v>Balance Sheet - Forecast Outputs</v>
          </cell>
        </row>
        <row r="71">
          <cell r="I71">
            <v>1</v>
          </cell>
        </row>
        <row r="73">
          <cell r="I73">
            <v>1</v>
          </cell>
        </row>
      </sheetData>
      <sheetData sheetId="46">
        <row r="1">
          <cell r="B1" t="str">
            <v>Cash Flow Statement - Forecast Outputs</v>
          </cell>
        </row>
        <row r="113">
          <cell r="I113">
            <v>0</v>
          </cell>
        </row>
      </sheetData>
      <sheetData sheetId="47"/>
      <sheetData sheetId="48"/>
      <sheetData sheetId="49"/>
      <sheetData sheetId="50"/>
      <sheetData sheetId="51"/>
      <sheetData sheetId="52"/>
      <sheetData sheetId="53"/>
      <sheetData sheetId="54"/>
      <sheetData sheetId="55">
        <row r="7">
          <cell r="B7" t="str">
            <v>Error Checks</v>
          </cell>
        </row>
        <row r="32">
          <cell r="B32" t="str">
            <v>Sensitivity Checks</v>
          </cell>
        </row>
        <row r="48">
          <cell r="B48" t="str">
            <v>Alert Checks</v>
          </cell>
        </row>
      </sheetData>
      <sheetData sheetId="56"/>
      <sheetData sheetId="57">
        <row r="12">
          <cell r="D12">
            <v>1</v>
          </cell>
        </row>
      </sheetData>
      <sheetData sheetId="58">
        <row r="12">
          <cell r="D12" t="str">
            <v>% of NPAT</v>
          </cell>
        </row>
      </sheetData>
      <sheetData sheetId="59">
        <row r="12">
          <cell r="D12" t="str">
            <v xml:space="preserve">2011 (A)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IP"/>
      <sheetName val="Instructions"/>
      <sheetName val="TOC"/>
      <sheetName val="Formats"/>
      <sheetName val="Change Log"/>
      <sheetName val="Assum"/>
      <sheetName val="Lookups"/>
      <sheetName val="Checks"/>
      <sheetName val="I_Build"/>
      <sheetName val="I_Operations"/>
      <sheetName val="I_Del Sch"/>
      <sheetName val="I_DD"/>
      <sheetName val="I_MSD V4M"/>
      <sheetName val="C_Funding"/>
      <sheetName val="C_Cashflow"/>
      <sheetName val="C_Half Moon Bay"/>
      <sheetName val="C_Kennedy Point"/>
      <sheetName val="C_Matiatia"/>
      <sheetName val="C_Tier2"/>
      <sheetName val="C_Other"/>
      <sheetName val="C_Other Rev Exp"/>
      <sheetName val="C_Capex_Depn"/>
      <sheetName val="O_Metrics"/>
      <sheetName val="O_Dashboard"/>
      <sheetName val="O_IS"/>
      <sheetName val="O_BS"/>
      <sheetName val="O_CF"/>
      <sheetName val="O_Funding St"/>
      <sheetName val="O_Monthly"/>
      <sheetName val="Existing Asssets"/>
      <sheetName val="LTP 13-22"/>
      <sheetName val="Notes"/>
      <sheetName val="Calcs"/>
      <sheetName val="Notes G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9">
          <cell r="L19">
            <v>1000</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IP"/>
      <sheetName val="Instructions"/>
      <sheetName val="TOC"/>
      <sheetName val="Formats"/>
      <sheetName val="Change Log"/>
      <sheetName val="Assum"/>
      <sheetName val="Lookups"/>
      <sheetName val="Checks"/>
      <sheetName val="I_Build"/>
      <sheetName val="I_Operations"/>
      <sheetName val="I_Del Sch"/>
      <sheetName val="I_DD"/>
      <sheetName val="I_MSD V4M"/>
      <sheetName val="I_Risk Matrix"/>
      <sheetName val="C_Funding"/>
      <sheetName val="C_Cashflow"/>
      <sheetName val="C_Half Moon Bay"/>
      <sheetName val="C_Kennedy Point"/>
      <sheetName val="C_Matiatia"/>
      <sheetName val="C_Tier2"/>
      <sheetName val="C_Other"/>
      <sheetName val="C_Other Rev Exp"/>
      <sheetName val="C_Capex_Depn"/>
      <sheetName val="O_Metrics"/>
      <sheetName val="O_Dashboard"/>
      <sheetName val="O_IS"/>
      <sheetName val="O_BS"/>
      <sheetName val="O_CF"/>
      <sheetName val="O_Funding St"/>
      <sheetName val="O_Monthly"/>
      <sheetName val="Existing Asssets"/>
      <sheetName val="LTP 13-22"/>
      <sheetName val="Notes"/>
      <sheetName val="Calcs"/>
      <sheetName val="Notes GB"/>
      <sheetName val="Check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racy De La Bat" refreshedDate="45693.473805555557" createdVersion="8" refreshedVersion="8" minRefreshableVersion="3" recordCount="24" xr:uid="{314F4CDE-1B7E-406D-AB34-D4FCAF08EAAA}">
  <cacheSource type="worksheet">
    <worksheetSource ref="C81:K105" sheet="Build-to-Lease OS Calculator"/>
  </cacheSource>
  <cacheFields count="9">
    <cacheField name="Rental Income" numFmtId="0">
      <sharedItems containsBlank="1"/>
    </cacheField>
    <cacheField name="Expenses(BM purposes)" numFmtId="0">
      <sharedItems containsBlank="1" count="10">
        <m/>
        <s v="Vacancy"/>
        <s v="Other expenses"/>
        <s v="Rates"/>
        <s v="Insurance"/>
        <s v="Utility"/>
        <s v="Repairs and Maintenance"/>
        <s v="Tenancy Management"/>
        <s v="Capital Replacement"/>
        <s v="Vaccany" u="1"/>
      </sharedItems>
    </cacheField>
    <cacheField name="Total" numFmtId="0">
      <sharedItems containsString="0" containsBlank="1" containsNumber="1" minValue="-119000" maxValue="272480"/>
    </cacheField>
    <cacheField name="Per unit" numFmtId="0">
      <sharedItems containsString="0" containsBlank="1" containsNumber="1" minValue="-11900" maxValue="27248"/>
    </cacheField>
    <cacheField name="x" numFmtId="0">
      <sharedItems containsNonDate="0" containsString="0" containsBlank="1"/>
    </cacheField>
    <cacheField name="Owner" numFmtId="201">
      <sharedItems containsString="0" containsBlank="1" containsNumber="1" containsInteger="1" minValue="-64500" maxValue="208000"/>
    </cacheField>
    <cacheField name="CHP" numFmtId="201">
      <sharedItems containsString="0" containsBlank="1" containsNumber="1" minValue="-54500" maxValue="68640"/>
    </cacheField>
    <cacheField name="y" numFmtId="0">
      <sharedItems containsNonDate="0" containsString="0" containsBlank="1"/>
    </cacheField>
    <cacheField name="Cost (% of Rent)" numFmtId="0">
      <sharedItems containsString="0" containsBlank="1" containsNumber="1" minValue="0" maxValue="0.6314182692307692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
  <r>
    <s v="Gross Rent"/>
    <x v="0"/>
    <n v="208000"/>
    <n v="20800"/>
    <m/>
    <n v="208000"/>
    <n v="0"/>
    <m/>
    <m/>
  </r>
  <r>
    <s v="Operating Supplement"/>
    <x v="0"/>
    <n v="68640"/>
    <n v="6864"/>
    <m/>
    <n v="0"/>
    <n v="68640"/>
    <m/>
    <m/>
  </r>
  <r>
    <s v="Less: Vacancy Allowance (inc Bad Debts)"/>
    <x v="1"/>
    <n v="-4160.0000000000036"/>
    <n v="-416.00000000000034"/>
    <m/>
    <n v="0"/>
    <n v="-4160.0000000000036"/>
    <m/>
    <n v="2.0000000000000018E-2"/>
  </r>
  <r>
    <s v="Income"/>
    <x v="0"/>
    <n v="272480"/>
    <n v="27248"/>
    <m/>
    <n v="208000"/>
    <n v="64480"/>
    <m/>
    <m/>
  </r>
  <r>
    <m/>
    <x v="0"/>
    <m/>
    <m/>
    <m/>
    <m/>
    <m/>
    <m/>
    <m/>
  </r>
  <r>
    <s v="CHP Cost Contingency"/>
    <x v="2"/>
    <n v="-5450"/>
    <n v="-545"/>
    <m/>
    <n v="0"/>
    <n v="-5450"/>
    <m/>
    <n v="2.6201923076923078E-2"/>
  </r>
  <r>
    <s v="CHP Operating Surplus"/>
    <x v="2"/>
    <n v="-2725"/>
    <n v="-272.5"/>
    <m/>
    <n v="0"/>
    <n v="-2725"/>
    <m/>
    <n v="1.3100961538461539E-2"/>
  </r>
  <r>
    <m/>
    <x v="0"/>
    <m/>
    <m/>
    <m/>
    <m/>
    <m/>
    <m/>
    <m/>
  </r>
  <r>
    <s v="Operating and Lifecycle Costs"/>
    <x v="0"/>
    <m/>
    <m/>
    <m/>
    <m/>
    <m/>
    <m/>
    <m/>
  </r>
  <r>
    <s v="Rates"/>
    <x v="3"/>
    <n v="-25000"/>
    <n v="-2500"/>
    <m/>
    <n v="-25000"/>
    <n v="0"/>
    <m/>
    <n v="0.1201923076923077"/>
  </r>
  <r>
    <s v="Insurance - Building"/>
    <x v="4"/>
    <n v="-12500"/>
    <n v="-1250"/>
    <m/>
    <n v="-12500"/>
    <n v="0"/>
    <m/>
    <n v="6.0096153846153848E-2"/>
  </r>
  <r>
    <s v="Insurance - Chattels"/>
    <x v="4"/>
    <n v="-2500"/>
    <n v="-250"/>
    <m/>
    <n v="0"/>
    <n v="-2500"/>
    <m/>
    <n v="1.201923076923077E-2"/>
  </r>
  <r>
    <s v="Water Charges"/>
    <x v="5"/>
    <n v="-1000"/>
    <n v="-100"/>
    <m/>
    <n v="0"/>
    <n v="-1000"/>
    <m/>
    <n v="4.807692307692308E-3"/>
  </r>
  <r>
    <s v="Utility Charges"/>
    <x v="5"/>
    <n v="-500"/>
    <n v="-50"/>
    <m/>
    <n v="0"/>
    <n v="-500"/>
    <m/>
    <n v="2.403846153846154E-3"/>
  </r>
  <r>
    <s v="Cleaning - External"/>
    <x v="6"/>
    <n v="-2000"/>
    <n v="-200"/>
    <m/>
    <n v="-2000"/>
    <n v="0"/>
    <m/>
    <n v="9.6153846153846159E-3"/>
  </r>
  <r>
    <s v="Cleaning - Internal"/>
    <x v="6"/>
    <n v="-4000"/>
    <n v="-400"/>
    <m/>
    <n v="0"/>
    <n v="-4000"/>
    <m/>
    <n v="1.9230769230769232E-2"/>
  </r>
  <r>
    <s v="Maintenance - Structure"/>
    <x v="6"/>
    <n v="-15000"/>
    <n v="-1500"/>
    <m/>
    <n v="-15000"/>
    <n v="0"/>
    <m/>
    <n v="7.2115384615384609E-2"/>
  </r>
  <r>
    <s v="Maintenance - Internal"/>
    <x v="6"/>
    <n v="-15000"/>
    <n v="-1500"/>
    <m/>
    <n v="0"/>
    <n v="-15000"/>
    <m/>
    <n v="7.2115384615384609E-2"/>
  </r>
  <r>
    <s v="Maintenance - Grounds"/>
    <x v="6"/>
    <n v="-3500"/>
    <n v="-350"/>
    <m/>
    <n v="0"/>
    <n v="-3500"/>
    <m/>
    <n v="1.6826923076923076E-2"/>
  </r>
  <r>
    <s v="Tenancy Management"/>
    <x v="7"/>
    <n v="-28000"/>
    <n v="-2800"/>
    <m/>
    <n v="0"/>
    <n v="-28000"/>
    <m/>
    <n v="0.13461538461538461"/>
  </r>
  <r>
    <s v="Capital Replacement"/>
    <x v="8"/>
    <n v="-10000"/>
    <n v="-1000"/>
    <m/>
    <n v="-10000"/>
    <n v="0"/>
    <m/>
    <n v="4.807692307692308E-2"/>
  </r>
  <r>
    <s v="Other Costs"/>
    <x v="2"/>
    <n v="0"/>
    <n v="0"/>
    <m/>
    <n v="0"/>
    <n v="0"/>
    <m/>
    <n v="0"/>
  </r>
  <r>
    <s v="Other Costs"/>
    <x v="2"/>
    <n v="0"/>
    <n v="0"/>
    <m/>
    <n v="0"/>
    <n v="0"/>
    <m/>
    <n v="0"/>
  </r>
  <r>
    <s v="Total Expenditure"/>
    <x v="0"/>
    <n v="-119000"/>
    <n v="-11900"/>
    <m/>
    <n v="-64500"/>
    <n v="-54500"/>
    <m/>
    <n v="0.6314182692307692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F49E201-69B0-4E44-8CD6-AC252C1FC51F}" name="PivotTable1" cacheId="37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I6:M15" firstHeaderRow="0" firstDataRow="1" firstDataCol="1"/>
  <pivotFields count="9">
    <pivotField showAll="0"/>
    <pivotField axis="axisRow" showAll="0">
      <items count="11">
        <item h="1" m="1" x="9"/>
        <item x="1"/>
        <item x="3"/>
        <item x="4"/>
        <item x="6"/>
        <item x="8"/>
        <item x="5"/>
        <item x="7"/>
        <item h="1" x="0"/>
        <item x="2"/>
        <item t="default"/>
      </items>
    </pivotField>
    <pivotField dataField="1" showAll="0"/>
    <pivotField dataField="1" showAll="0"/>
    <pivotField showAll="0"/>
    <pivotField dataField="1" showAll="0"/>
    <pivotField dataField="1" showAll="0"/>
    <pivotField showAll="0"/>
    <pivotField showAll="0"/>
  </pivotFields>
  <rowFields count="1">
    <field x="1"/>
  </rowFields>
  <rowItems count="9">
    <i>
      <x v="1"/>
    </i>
    <i>
      <x v="2"/>
    </i>
    <i>
      <x v="3"/>
    </i>
    <i>
      <x v="4"/>
    </i>
    <i>
      <x v="5"/>
    </i>
    <i>
      <x v="6"/>
    </i>
    <i>
      <x v="7"/>
    </i>
    <i>
      <x v="9"/>
    </i>
    <i t="grand">
      <x/>
    </i>
  </rowItems>
  <colFields count="1">
    <field x="-2"/>
  </colFields>
  <colItems count="4">
    <i>
      <x/>
    </i>
    <i i="1">
      <x v="1"/>
    </i>
    <i i="2">
      <x v="2"/>
    </i>
    <i i="3">
      <x v="3"/>
    </i>
  </colItems>
  <dataFields count="4">
    <dataField name="Totals" fld="2" baseField="1" baseItem="0" numFmtId="164"/>
    <dataField name="Per unit cost" fld="3" baseField="0" baseItem="0" numFmtId="164"/>
    <dataField name="Owner cost" fld="5" baseField="0" baseItem="0" numFmtId="164"/>
    <dataField name=" CHP cost" fld="6" baseField="0" baseItem="0" numFmtId="164"/>
  </dataFields>
  <formats count="8">
    <format dxfId="7">
      <pivotArea outline="0" collapsedLevelsAreSubtotals="1" fieldPosition="0"/>
    </format>
    <format dxfId="6">
      <pivotArea dataOnly="0" labelOnly="1" outline="0" fieldPosition="0">
        <references count="1">
          <reference field="4294967294" count="4">
            <x v="0"/>
            <x v="1"/>
            <x v="2"/>
            <x v="3"/>
          </reference>
        </references>
      </pivotArea>
    </format>
    <format dxfId="5">
      <pivotArea outline="0" collapsedLevelsAreSubtotals="1" fieldPosition="0"/>
    </format>
    <format dxfId="4">
      <pivotArea outline="0" collapsedLevelsAreSubtotals="1" fieldPosition="0"/>
    </format>
    <format dxfId="3">
      <pivotArea collapsedLevelsAreSubtotals="1" fieldPosition="0">
        <references count="1">
          <reference field="1" count="0"/>
        </references>
      </pivotArea>
    </format>
    <format dxfId="2">
      <pivotArea outline="0" fieldPosition="0">
        <references count="1">
          <reference field="4294967294" count="1">
            <x v="0"/>
          </reference>
        </references>
      </pivotArea>
    </format>
    <format dxfId="1">
      <pivotArea outline="0" collapsedLevelsAreSubtotals="1" fieldPosition="0">
        <references count="1">
          <reference field="4294967294" count="3" selected="0">
            <x v="1"/>
            <x v="2"/>
            <x v="3"/>
          </reference>
        </references>
      </pivotArea>
    </format>
    <format dxfId="0">
      <pivotArea outline="0" collapsedLevelsAreSubtotals="1"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tenancy.govt.nz/rent-bond-and-bills/water-and-wastewater-charg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C5D20-D7E5-4426-958E-8A2A856956FC}">
  <sheetPr>
    <tabColor rgb="FF005A76"/>
  </sheetPr>
  <dimension ref="A1:S17"/>
  <sheetViews>
    <sheetView showGridLines="0" tabSelected="1" zoomScale="80" zoomScaleNormal="80" workbookViewId="0"/>
  </sheetViews>
  <sheetFormatPr defaultColWidth="0" defaultRowHeight="13.5" zeroHeight="1"/>
  <cols>
    <col min="1" max="1" width="3.75" customWidth="1"/>
    <col min="2" max="18" width="9" customWidth="1"/>
    <col min="19" max="19" width="3.75" customWidth="1"/>
    <col min="20" max="16384" width="9" hidden="1"/>
  </cols>
  <sheetData>
    <row r="1" spans="2:18" s="3" customFormat="1"/>
    <row r="2" spans="2:18" s="3" customFormat="1"/>
    <row r="3" spans="2:18" s="3" customFormat="1"/>
    <row r="4" spans="2:18" s="3" customFormat="1"/>
    <row r="5" spans="2:18" s="3" customFormat="1"/>
    <row r="6" spans="2:18" s="3" customFormat="1"/>
    <row r="7" spans="2:18" s="3" customFormat="1"/>
    <row r="8" spans="2:18" s="3" customFormat="1">
      <c r="B8" s="241" t="s">
        <v>220</v>
      </c>
      <c r="C8" s="242"/>
      <c r="D8" s="242"/>
      <c r="E8" s="242"/>
      <c r="F8" s="242"/>
      <c r="G8" s="242"/>
      <c r="H8" s="242"/>
      <c r="I8" s="242"/>
      <c r="J8" s="242"/>
      <c r="K8" s="242"/>
      <c r="L8" s="242"/>
      <c r="M8" s="242"/>
      <c r="N8" s="242"/>
      <c r="O8" s="242"/>
      <c r="P8" s="242"/>
      <c r="Q8" s="242"/>
      <c r="R8" s="242"/>
    </row>
    <row r="9" spans="2:18" s="3" customFormat="1">
      <c r="B9" s="242"/>
      <c r="C9" s="242"/>
      <c r="D9" s="242"/>
      <c r="E9" s="242"/>
      <c r="F9" s="242"/>
      <c r="G9" s="242"/>
      <c r="H9" s="242"/>
      <c r="I9" s="242"/>
      <c r="J9" s="242"/>
      <c r="K9" s="242"/>
      <c r="L9" s="242"/>
      <c r="M9" s="242"/>
      <c r="N9" s="242"/>
      <c r="O9" s="242"/>
      <c r="P9" s="242"/>
      <c r="Q9" s="242"/>
      <c r="R9" s="242"/>
    </row>
    <row r="10" spans="2:18" s="3" customFormat="1">
      <c r="B10" s="242"/>
      <c r="C10" s="242"/>
      <c r="D10" s="242"/>
      <c r="E10" s="242"/>
      <c r="F10" s="242"/>
      <c r="G10" s="242"/>
      <c r="H10" s="242"/>
      <c r="I10" s="242"/>
      <c r="J10" s="242"/>
      <c r="K10" s="242"/>
      <c r="L10" s="242"/>
      <c r="M10" s="242"/>
      <c r="N10" s="242"/>
      <c r="O10" s="242"/>
      <c r="P10" s="242"/>
      <c r="Q10" s="242"/>
      <c r="R10" s="242"/>
    </row>
    <row r="11" spans="2:18" s="3" customFormat="1">
      <c r="B11" s="242"/>
      <c r="C11" s="242"/>
      <c r="D11" s="242"/>
      <c r="E11" s="242"/>
      <c r="F11" s="242"/>
      <c r="G11" s="242"/>
      <c r="H11" s="242"/>
      <c r="I11" s="242"/>
      <c r="J11" s="242"/>
      <c r="K11" s="242"/>
      <c r="L11" s="242"/>
      <c r="M11" s="242"/>
      <c r="N11" s="242"/>
      <c r="O11" s="242"/>
      <c r="P11" s="242"/>
      <c r="Q11" s="242"/>
      <c r="R11" s="242"/>
    </row>
    <row r="12" spans="2:18" s="3" customFormat="1">
      <c r="B12" s="242"/>
      <c r="C12" s="242"/>
      <c r="D12" s="242"/>
      <c r="E12" s="242"/>
      <c r="F12" s="242"/>
      <c r="G12" s="242"/>
      <c r="H12" s="242"/>
      <c r="I12" s="242"/>
      <c r="J12" s="242"/>
      <c r="K12" s="242"/>
      <c r="L12" s="242"/>
      <c r="M12" s="242"/>
      <c r="N12" s="242"/>
      <c r="O12" s="242"/>
      <c r="P12" s="242"/>
      <c r="Q12" s="242"/>
      <c r="R12" s="242"/>
    </row>
    <row r="13" spans="2:18" s="3" customFormat="1">
      <c r="B13" s="242"/>
      <c r="C13" s="242"/>
      <c r="D13" s="242"/>
      <c r="E13" s="242"/>
      <c r="F13" s="242"/>
      <c r="G13" s="242"/>
      <c r="H13" s="242"/>
      <c r="I13" s="242"/>
      <c r="J13" s="242"/>
      <c r="K13" s="242"/>
      <c r="L13" s="242"/>
      <c r="M13" s="242"/>
      <c r="N13" s="242"/>
      <c r="O13" s="242"/>
      <c r="P13" s="242"/>
      <c r="Q13" s="242"/>
      <c r="R13" s="242"/>
    </row>
    <row r="14" spans="2:18" s="3" customFormat="1">
      <c r="B14" s="242"/>
      <c r="C14" s="242"/>
      <c r="D14" s="242"/>
      <c r="E14" s="242"/>
      <c r="F14" s="242"/>
      <c r="G14" s="242"/>
      <c r="H14" s="242"/>
      <c r="I14" s="242"/>
      <c r="J14" s="242"/>
      <c r="K14" s="242"/>
      <c r="L14" s="242"/>
      <c r="M14" s="242"/>
      <c r="N14" s="242"/>
      <c r="O14" s="242"/>
      <c r="P14" s="242"/>
      <c r="Q14" s="242"/>
      <c r="R14" s="242"/>
    </row>
    <row r="15" spans="2:18" s="3" customFormat="1">
      <c r="B15" s="242"/>
      <c r="C15" s="242"/>
      <c r="D15" s="242"/>
      <c r="E15" s="242"/>
      <c r="F15" s="242"/>
      <c r="G15" s="242"/>
      <c r="H15" s="242"/>
      <c r="I15" s="242"/>
      <c r="J15" s="242"/>
      <c r="K15" s="242"/>
      <c r="L15" s="242"/>
      <c r="M15" s="242"/>
      <c r="N15" s="242"/>
      <c r="O15" s="242"/>
      <c r="P15" s="242"/>
      <c r="Q15" s="242"/>
      <c r="R15" s="242"/>
    </row>
    <row r="16" spans="2:18" s="3" customFormat="1"/>
    <row r="17" s="3" customFormat="1"/>
  </sheetData>
  <sheetProtection algorithmName="SHA-512" hashValue="pWR6EIUFR5qK6Rx0zc59VR9YImb4eoDpz3+G9ZjPw9lh9qcEFKfNtOQJqQfHnA/NT5At+PAorzrppglz3P8Yyg==" saltValue="gHib8dGu1zbt7+jkluhP1Q==" spinCount="100000" sheet="1" objects="1" scenarios="1"/>
  <mergeCells count="1">
    <mergeCell ref="B8:R15"/>
  </mergeCells>
  <pageMargins left="0.7" right="0.7" top="0.75" bottom="0.75" header="0.3" footer="0.3"/>
  <pageSetup paperSize="9" orientation="portrait" r:id="rId1"/>
  <headerFooter>
    <oddFooter>&amp;C_x000D_&amp;1#&amp;"Calibri"&amp;10&amp;K000000 [UNCLASSIFIED]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00"/>
    <pageSetUpPr fitToPage="1"/>
  </sheetPr>
  <dimension ref="A1:L30"/>
  <sheetViews>
    <sheetView showGridLines="0" zoomScale="80" zoomScaleNormal="80" workbookViewId="0"/>
  </sheetViews>
  <sheetFormatPr defaultColWidth="0" defaultRowHeight="13.5" zeroHeight="1"/>
  <cols>
    <col min="1" max="1" width="4.625" style="1" customWidth="1"/>
    <col min="2" max="2" width="21.625" style="1" customWidth="1"/>
    <col min="3" max="3" width="4.75" style="1" customWidth="1"/>
    <col min="4" max="9" width="13.25" style="1" customWidth="1"/>
    <col min="10" max="10" width="4.625" style="1" customWidth="1"/>
    <col min="11" max="12" width="0" style="1" hidden="1" customWidth="1"/>
    <col min="13" max="16384" width="9" style="1" hidden="1"/>
  </cols>
  <sheetData>
    <row r="1" spans="2:9"/>
    <row r="2" spans="2:9" ht="13.9">
      <c r="B2" s="6" t="s">
        <v>0</v>
      </c>
      <c r="D2" s="1" t="s">
        <v>102</v>
      </c>
    </row>
    <row r="3" spans="2:9">
      <c r="B3" s="4"/>
      <c r="C3" s="4"/>
      <c r="D3" s="4"/>
      <c r="E3" s="4"/>
      <c r="F3" s="4"/>
      <c r="G3" s="4"/>
      <c r="H3" s="4"/>
      <c r="I3" s="4"/>
    </row>
    <row r="4" spans="2:9"/>
    <row r="5" spans="2:9" ht="13.9">
      <c r="B5" s="5" t="s">
        <v>172</v>
      </c>
    </row>
    <row r="6" spans="2:9">
      <c r="B6" s="4"/>
      <c r="C6" s="4"/>
      <c r="D6" s="4"/>
      <c r="E6" s="4"/>
      <c r="F6" s="4"/>
      <c r="G6" s="4"/>
      <c r="H6" s="4"/>
      <c r="I6" s="4"/>
    </row>
    <row r="7" spans="2:9"/>
    <row r="8" spans="2:9" ht="13.9">
      <c r="B8" s="18" t="s">
        <v>187</v>
      </c>
    </row>
    <row r="9" spans="2:9" ht="13.9">
      <c r="B9" s="6"/>
    </row>
    <row r="10" spans="2:9">
      <c r="B10" s="19" t="s">
        <v>170</v>
      </c>
      <c r="D10" s="1" t="s">
        <v>181</v>
      </c>
    </row>
    <row r="11" spans="2:9">
      <c r="B11" s="12"/>
      <c r="D11" s="243" t="s">
        <v>180</v>
      </c>
      <c r="E11" s="243"/>
      <c r="F11" s="243"/>
      <c r="G11" s="243"/>
      <c r="H11" s="243"/>
      <c r="I11" s="243"/>
    </row>
    <row r="12" spans="2:9">
      <c r="B12" s="12"/>
    </row>
    <row r="13" spans="2:9">
      <c r="B13" s="19" t="s">
        <v>171</v>
      </c>
      <c r="D13" s="1" t="s">
        <v>173</v>
      </c>
    </row>
    <row r="14" spans="2:9" ht="13.9">
      <c r="B14" s="10"/>
      <c r="C14" s="11"/>
      <c r="D14" s="243" t="s">
        <v>174</v>
      </c>
      <c r="E14" s="243"/>
      <c r="F14" s="243"/>
      <c r="G14" s="243"/>
      <c r="H14" s="243"/>
      <c r="I14" s="243"/>
    </row>
    <row r="15" spans="2:9"/>
    <row r="16" spans="2:9">
      <c r="B16" s="4"/>
      <c r="C16" s="4"/>
      <c r="D16" s="4"/>
      <c r="E16" s="4"/>
      <c r="F16" s="4"/>
      <c r="G16" s="4"/>
      <c r="H16" s="4"/>
      <c r="I16" s="4"/>
    </row>
    <row r="17" spans="2:9"/>
    <row r="18" spans="2:9" ht="13.9">
      <c r="B18" s="13" t="s">
        <v>182</v>
      </c>
    </row>
    <row r="19" spans="2:9" ht="5.0999999999999996" customHeight="1"/>
    <row r="20" spans="2:9">
      <c r="B20" s="14" t="s">
        <v>175</v>
      </c>
      <c r="C20" s="8"/>
      <c r="D20" s="9" t="s">
        <v>176</v>
      </c>
      <c r="E20" s="9"/>
      <c r="F20" s="9"/>
      <c r="G20" s="9"/>
      <c r="H20" s="9"/>
    </row>
    <row r="21" spans="2:9" ht="5.0999999999999996" customHeight="1">
      <c r="B21" s="7"/>
      <c r="C21" s="7"/>
      <c r="D21" s="7"/>
      <c r="E21" s="7"/>
      <c r="F21" s="7"/>
      <c r="G21" s="7"/>
      <c r="H21" s="7"/>
    </row>
    <row r="22" spans="2:9">
      <c r="B22" s="8" t="s">
        <v>178</v>
      </c>
      <c r="C22" s="8"/>
      <c r="D22" s="9" t="s">
        <v>177</v>
      </c>
      <c r="E22" s="9"/>
      <c r="F22" s="9"/>
      <c r="G22" s="9"/>
      <c r="H22" s="9"/>
    </row>
    <row r="23" spans="2:9">
      <c r="B23" s="7"/>
      <c r="C23" s="7"/>
      <c r="D23" s="7"/>
      <c r="E23" s="7"/>
      <c r="F23" s="7"/>
      <c r="G23" s="7"/>
      <c r="H23" s="7"/>
    </row>
    <row r="24" spans="2:9" ht="13.9">
      <c r="B24" s="13" t="s">
        <v>183</v>
      </c>
    </row>
    <row r="25" spans="2:9" ht="5.0999999999999996" customHeight="1">
      <c r="B25" s="7"/>
      <c r="C25" s="7"/>
      <c r="D25" s="7"/>
      <c r="E25" s="7"/>
      <c r="F25" s="7"/>
      <c r="G25" s="7"/>
      <c r="H25" s="7"/>
      <c r="I25" s="15"/>
    </row>
    <row r="26" spans="2:9">
      <c r="B26" s="16" t="s">
        <v>136</v>
      </c>
      <c r="C26" s="8"/>
      <c r="D26" s="9" t="s">
        <v>184</v>
      </c>
      <c r="E26" s="9"/>
      <c r="F26" s="9"/>
      <c r="G26" s="9"/>
      <c r="H26" s="9"/>
      <c r="I26" s="15"/>
    </row>
    <row r="27" spans="2:9" ht="5.0999999999999996" customHeight="1">
      <c r="I27" s="15"/>
    </row>
    <row r="28" spans="2:9" ht="13.9">
      <c r="B28" s="17" t="s">
        <v>185</v>
      </c>
      <c r="C28" s="8"/>
      <c r="D28" s="9" t="s">
        <v>186</v>
      </c>
      <c r="E28" s="9"/>
      <c r="F28" s="9"/>
      <c r="G28" s="9"/>
      <c r="H28" s="9"/>
      <c r="I28" s="15"/>
    </row>
    <row r="29" spans="2:9">
      <c r="I29" s="15"/>
    </row>
    <row r="30" spans="2:9"/>
  </sheetData>
  <sheetProtection algorithmName="SHA-512" hashValue="4BPiRy3ZD1vjz7HotYGJiqYeo/4fqDb1bjlBzT8giFlgn4uQ/FpJw8ZFQi695/W9L3tHNGV1AKvKK9GZk1nIBQ==" saltValue="2cffT0iySuq8jn6WPMrssQ==" spinCount="100000" sheet="1" objects="1" scenarios="1"/>
  <mergeCells count="2">
    <mergeCell ref="D14:I14"/>
    <mergeCell ref="D11:I11"/>
  </mergeCells>
  <hyperlinks>
    <hyperlink ref="B10" location="'Build-to-Lease OS Calculator'!A1" display="Build-to-Lease OS Calculator" xr:uid="{E9DBEBAF-B8C1-40E3-B5F3-A671B04D5C04}"/>
    <hyperlink ref="B13" location="'TM Cost Calculator'!A1" display="TM Cost Calculator" xr:uid="{7B74BF6A-D738-4C64-8928-569B878ADFBE}"/>
  </hyperlinks>
  <pageMargins left="0.25" right="0.25" top="0.75" bottom="0.75" header="0.3" footer="0.3"/>
  <pageSetup paperSize="9" scale="82" orientation="portrait" r:id="rId1"/>
  <headerFooter>
    <oddFooter>&amp;C_x000D_&amp;1#&amp;"Calibri"&amp;10&amp;K000000 [UNCLASSIFIED]</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62C78-7541-4FB8-AA9C-6C9AB5345DC6}">
  <sheetPr>
    <tabColor rgb="FF003E52"/>
    <pageSetUpPr fitToPage="1"/>
  </sheetPr>
  <dimension ref="A1:Y113"/>
  <sheetViews>
    <sheetView showGridLines="0" zoomScale="80" zoomScaleNormal="80" workbookViewId="0">
      <pane ySplit="11" topLeftCell="A12" activePane="bottomLeft" state="frozen"/>
      <selection pane="bottomLeft"/>
    </sheetView>
  </sheetViews>
  <sheetFormatPr defaultColWidth="0" defaultRowHeight="14.25" zeroHeight="1"/>
  <cols>
    <col min="1" max="2" width="3.625" style="52" customWidth="1"/>
    <col min="3" max="3" width="27.625" style="53" customWidth="1"/>
    <col min="4" max="6" width="13.625" style="52" customWidth="1"/>
    <col min="7" max="7" width="1.375" style="52" customWidth="1"/>
    <col min="8" max="9" width="13.625" style="52" customWidth="1"/>
    <col min="10" max="10" width="1.375" style="52" customWidth="1"/>
    <col min="11" max="11" width="13.625" style="52" customWidth="1"/>
    <col min="12" max="12" width="20.625" style="52" customWidth="1"/>
    <col min="13" max="13" width="60.625" style="52" customWidth="1"/>
    <col min="14" max="15" width="3.625" style="52" customWidth="1"/>
    <col min="16" max="20" width="9" style="52" customWidth="1"/>
    <col min="21" max="21" width="5.5" style="52" customWidth="1"/>
    <col min="22" max="25" width="0" style="52" hidden="1" customWidth="1"/>
    <col min="26" max="16384" width="9" style="52" hidden="1"/>
  </cols>
  <sheetData>
    <row r="1" spans="1:21">
      <c r="A1" s="49"/>
      <c r="B1" s="49"/>
      <c r="C1" s="50"/>
      <c r="D1" s="49"/>
      <c r="E1" s="49"/>
      <c r="F1" s="49"/>
      <c r="G1" s="49"/>
      <c r="H1" s="51"/>
      <c r="I1" s="51"/>
      <c r="J1" s="51"/>
      <c r="K1" s="49"/>
      <c r="L1" s="49"/>
      <c r="M1" s="49"/>
      <c r="N1" s="49"/>
      <c r="O1" s="49"/>
      <c r="P1" s="49"/>
      <c r="Q1" s="49"/>
      <c r="R1" s="49"/>
      <c r="S1" s="49"/>
      <c r="T1" s="49"/>
      <c r="U1" s="49"/>
    </row>
    <row r="2" spans="1:21" ht="18">
      <c r="A2" s="49"/>
      <c r="B2" s="49"/>
      <c r="C2" s="250" t="s">
        <v>1</v>
      </c>
      <c r="D2" s="250"/>
      <c r="E2" s="250"/>
      <c r="F2" s="250"/>
      <c r="G2" s="250"/>
      <c r="H2" s="250"/>
      <c r="I2" s="250"/>
      <c r="J2" s="250"/>
      <c r="K2" s="250"/>
      <c r="L2" s="250"/>
      <c r="M2" s="250"/>
      <c r="N2" s="49"/>
      <c r="O2" s="49"/>
      <c r="P2" s="49"/>
      <c r="Q2" s="49"/>
      <c r="R2" s="49"/>
      <c r="S2" s="49"/>
      <c r="T2" s="49"/>
      <c r="U2" s="49"/>
    </row>
    <row r="3" spans="1:21" ht="18">
      <c r="A3" s="49"/>
      <c r="B3" s="49"/>
      <c r="C3" s="250" t="s">
        <v>2</v>
      </c>
      <c r="D3" s="250"/>
      <c r="E3" s="250"/>
      <c r="F3" s="250"/>
      <c r="G3" s="250"/>
      <c r="H3" s="250"/>
      <c r="I3" s="250"/>
      <c r="J3" s="250"/>
      <c r="K3" s="250"/>
      <c r="L3" s="250"/>
      <c r="M3" s="250"/>
      <c r="N3" s="49"/>
      <c r="O3" s="49"/>
      <c r="P3" s="49"/>
      <c r="Q3" s="49"/>
      <c r="R3" s="49"/>
      <c r="S3" s="49"/>
      <c r="T3" s="49"/>
      <c r="U3" s="49"/>
    </row>
    <row r="4" spans="1:21"/>
    <row r="5" spans="1:21" ht="13.15" customHeight="1">
      <c r="B5" s="54"/>
      <c r="C5" s="55"/>
      <c r="D5" s="56"/>
      <c r="E5" s="56"/>
      <c r="F5" s="56"/>
      <c r="G5" s="56"/>
      <c r="H5" s="56"/>
      <c r="I5" s="56"/>
      <c r="J5" s="56"/>
      <c r="K5" s="56"/>
      <c r="L5" s="56"/>
      <c r="M5" s="56"/>
      <c r="N5" s="57"/>
    </row>
    <row r="6" spans="1:21" ht="13.15" customHeight="1">
      <c r="B6" s="58"/>
      <c r="C6" s="59" t="s">
        <v>3</v>
      </c>
      <c r="D6" s="60" t="s">
        <v>99</v>
      </c>
      <c r="E6" s="61"/>
      <c r="N6" s="62"/>
    </row>
    <row r="7" spans="1:21" ht="13.15" customHeight="1">
      <c r="B7" s="58"/>
      <c r="C7" s="59" t="s">
        <v>59</v>
      </c>
      <c r="D7" s="60" t="s">
        <v>100</v>
      </c>
      <c r="E7" s="61"/>
      <c r="N7" s="62"/>
    </row>
    <row r="8" spans="1:21" ht="13.15" customHeight="1">
      <c r="B8" s="58"/>
      <c r="C8" s="59" t="s">
        <v>221</v>
      </c>
      <c r="D8" s="63" t="s">
        <v>101</v>
      </c>
      <c r="N8" s="62"/>
    </row>
    <row r="9" spans="1:21" ht="13.15" customHeight="1">
      <c r="B9" s="58"/>
      <c r="C9" s="59" t="s">
        <v>96</v>
      </c>
      <c r="D9" s="64">
        <v>10</v>
      </c>
      <c r="N9" s="62"/>
    </row>
    <row r="10" spans="1:21" ht="13.15" customHeight="1">
      <c r="B10" s="58"/>
      <c r="C10" s="65" t="s">
        <v>61</v>
      </c>
      <c r="D10" s="66">
        <f>'Build-to-Lease OS Calculator'!I110</f>
        <v>0.33</v>
      </c>
      <c r="N10" s="62"/>
    </row>
    <row r="11" spans="1:21" ht="13.15" customHeight="1">
      <c r="B11" s="58"/>
      <c r="C11" s="59"/>
      <c r="D11" s="65"/>
      <c r="E11" s="67"/>
      <c r="F11" s="65"/>
      <c r="N11" s="62"/>
    </row>
    <row r="12" spans="1:21" ht="13.15" customHeight="1">
      <c r="B12" s="58"/>
      <c r="C12" s="68" t="s">
        <v>104</v>
      </c>
      <c r="D12" s="69"/>
      <c r="E12" s="69"/>
      <c r="F12" s="69"/>
      <c r="G12" s="69"/>
      <c r="H12" s="69"/>
      <c r="I12" s="69"/>
      <c r="J12" s="69"/>
      <c r="K12" s="69"/>
      <c r="L12" s="69"/>
      <c r="M12" s="70"/>
      <c r="N12" s="62"/>
    </row>
    <row r="13" spans="1:21" ht="13.15" customHeight="1">
      <c r="B13" s="58"/>
      <c r="C13" s="71" t="s">
        <v>4</v>
      </c>
      <c r="D13" s="72" t="s">
        <v>105</v>
      </c>
      <c r="E13" s="72" t="s">
        <v>213</v>
      </c>
      <c r="F13" s="72" t="s">
        <v>214</v>
      </c>
      <c r="G13" s="72"/>
      <c r="H13" s="248" t="s">
        <v>137</v>
      </c>
      <c r="I13" s="248"/>
      <c r="J13" s="248"/>
      <c r="K13" s="248"/>
      <c r="L13" s="248"/>
      <c r="M13" s="73" t="s">
        <v>138</v>
      </c>
      <c r="N13" s="62"/>
    </row>
    <row r="14" spans="1:21" ht="13.15" customHeight="1">
      <c r="B14" s="58"/>
      <c r="C14" s="74" t="s">
        <v>5</v>
      </c>
      <c r="D14" s="75">
        <f>D20</f>
        <v>10</v>
      </c>
      <c r="E14" s="75">
        <f>+F14/D14</f>
        <v>175</v>
      </c>
      <c r="F14" s="76">
        <v>1750</v>
      </c>
      <c r="G14" s="77"/>
      <c r="H14" s="249"/>
      <c r="I14" s="249"/>
      <c r="J14" s="249"/>
      <c r="K14" s="249"/>
      <c r="L14" s="249"/>
      <c r="M14" s="78" t="s">
        <v>161</v>
      </c>
      <c r="N14" s="62"/>
    </row>
    <row r="15" spans="1:21" ht="13.15" customHeight="1">
      <c r="B15" s="58"/>
      <c r="C15" s="74" t="s">
        <v>106</v>
      </c>
      <c r="D15" s="79">
        <v>5</v>
      </c>
      <c r="E15" s="79">
        <v>50</v>
      </c>
      <c r="F15" s="77">
        <f>D15*E15</f>
        <v>250</v>
      </c>
      <c r="G15" s="77"/>
      <c r="H15" s="249"/>
      <c r="I15" s="249"/>
      <c r="J15" s="249"/>
      <c r="K15" s="249"/>
      <c r="L15" s="249"/>
      <c r="M15" s="246" t="s">
        <v>179</v>
      </c>
      <c r="N15" s="62"/>
    </row>
    <row r="16" spans="1:21" ht="13.15" customHeight="1">
      <c r="B16" s="58"/>
      <c r="C16" s="74" t="s">
        <v>107</v>
      </c>
      <c r="D16" s="79">
        <v>5</v>
      </c>
      <c r="E16" s="79">
        <v>70</v>
      </c>
      <c r="F16" s="77">
        <f>D16*E16</f>
        <v>350</v>
      </c>
      <c r="G16" s="77"/>
      <c r="H16" s="249"/>
      <c r="I16" s="249"/>
      <c r="J16" s="249"/>
      <c r="K16" s="249"/>
      <c r="L16" s="249"/>
      <c r="M16" s="246"/>
      <c r="N16" s="62"/>
    </row>
    <row r="17" spans="2:14" ht="13.15" customHeight="1">
      <c r="B17" s="58"/>
      <c r="C17" s="74" t="s">
        <v>108</v>
      </c>
      <c r="D17" s="79">
        <v>0</v>
      </c>
      <c r="E17" s="79">
        <v>0</v>
      </c>
      <c r="F17" s="77">
        <f>D17*E17</f>
        <v>0</v>
      </c>
      <c r="G17" s="77"/>
      <c r="H17" s="249"/>
      <c r="I17" s="249"/>
      <c r="J17" s="249"/>
      <c r="K17" s="249"/>
      <c r="L17" s="249"/>
      <c r="M17" s="246"/>
      <c r="N17" s="62"/>
    </row>
    <row r="18" spans="2:14" ht="13.15" customHeight="1">
      <c r="B18" s="58"/>
      <c r="C18" s="74" t="s">
        <v>109</v>
      </c>
      <c r="D18" s="79">
        <v>0</v>
      </c>
      <c r="E18" s="79">
        <v>0</v>
      </c>
      <c r="F18" s="77">
        <f>D18*E18</f>
        <v>0</v>
      </c>
      <c r="G18" s="77"/>
      <c r="H18" s="249"/>
      <c r="I18" s="249"/>
      <c r="J18" s="249"/>
      <c r="K18" s="249"/>
      <c r="L18" s="249"/>
      <c r="M18" s="246"/>
      <c r="N18" s="62"/>
    </row>
    <row r="19" spans="2:14" ht="13.15" customHeight="1">
      <c r="B19" s="58"/>
      <c r="C19" s="74" t="s">
        <v>110</v>
      </c>
      <c r="D19" s="79"/>
      <c r="E19" s="79">
        <v>0</v>
      </c>
      <c r="F19" s="77">
        <f>D19*E19</f>
        <v>0</v>
      </c>
      <c r="G19" s="77"/>
      <c r="H19" s="249"/>
      <c r="I19" s="249"/>
      <c r="J19" s="249"/>
      <c r="K19" s="249"/>
      <c r="L19" s="249"/>
      <c r="M19" s="247"/>
      <c r="N19" s="62"/>
    </row>
    <row r="20" spans="2:14" ht="13.15" customHeight="1">
      <c r="B20" s="58"/>
      <c r="C20" s="80" t="s">
        <v>6</v>
      </c>
      <c r="D20" s="81">
        <f>SUM(D15:D19)</f>
        <v>10</v>
      </c>
      <c r="E20" s="82"/>
      <c r="F20" s="83">
        <f>SUM(F15:F19)</f>
        <v>600</v>
      </c>
      <c r="G20" s="83"/>
      <c r="H20" s="83"/>
      <c r="I20" s="83"/>
      <c r="J20" s="83"/>
      <c r="K20" s="83"/>
      <c r="L20" s="83"/>
      <c r="M20" s="84"/>
      <c r="N20" s="62"/>
    </row>
    <row r="21" spans="2:14" ht="13.15" customHeight="1">
      <c r="B21" s="58"/>
      <c r="C21" s="74" t="s">
        <v>7</v>
      </c>
      <c r="D21" s="79">
        <v>0</v>
      </c>
      <c r="E21" s="79">
        <v>0</v>
      </c>
      <c r="F21" s="77">
        <f>D21*E21</f>
        <v>0</v>
      </c>
      <c r="G21" s="77"/>
      <c r="H21" s="249"/>
      <c r="I21" s="249"/>
      <c r="J21" s="249"/>
      <c r="K21" s="249"/>
      <c r="L21" s="249"/>
      <c r="M21" s="78"/>
      <c r="N21" s="62"/>
    </row>
    <row r="22" spans="2:14" ht="13.15" customHeight="1">
      <c r="B22" s="58"/>
      <c r="C22" s="74" t="s">
        <v>8</v>
      </c>
      <c r="D22" s="79">
        <v>0</v>
      </c>
      <c r="E22" s="79">
        <v>0</v>
      </c>
      <c r="F22" s="77">
        <f>D22*E22</f>
        <v>0</v>
      </c>
      <c r="G22" s="77"/>
      <c r="H22" s="249"/>
      <c r="I22" s="249"/>
      <c r="J22" s="249"/>
      <c r="K22" s="249"/>
      <c r="L22" s="249"/>
      <c r="M22" s="78"/>
      <c r="N22" s="62"/>
    </row>
    <row r="23" spans="2:14" ht="13.15" customHeight="1">
      <c r="B23" s="58"/>
      <c r="C23" s="74" t="s">
        <v>9</v>
      </c>
      <c r="D23" s="79">
        <v>0</v>
      </c>
      <c r="E23" s="79">
        <v>0</v>
      </c>
      <c r="F23" s="77">
        <f>D23*E23</f>
        <v>0</v>
      </c>
      <c r="G23" s="77"/>
      <c r="H23" s="249"/>
      <c r="I23" s="249"/>
      <c r="J23" s="249"/>
      <c r="K23" s="249"/>
      <c r="L23" s="249"/>
      <c r="M23" s="78" t="s">
        <v>139</v>
      </c>
      <c r="N23" s="62"/>
    </row>
    <row r="24" spans="2:14" ht="13.15" customHeight="1">
      <c r="B24" s="58"/>
      <c r="C24" s="74" t="s">
        <v>188</v>
      </c>
      <c r="D24" s="79">
        <v>0</v>
      </c>
      <c r="E24" s="79">
        <v>0</v>
      </c>
      <c r="F24" s="77">
        <f>D24*E24</f>
        <v>0</v>
      </c>
      <c r="G24" s="77"/>
      <c r="H24" s="249"/>
      <c r="I24" s="249"/>
      <c r="J24" s="249"/>
      <c r="K24" s="249"/>
      <c r="L24" s="249"/>
      <c r="M24" s="78"/>
      <c r="N24" s="62"/>
    </row>
    <row r="25" spans="2:14" ht="13.15" customHeight="1">
      <c r="B25" s="58"/>
      <c r="C25" s="85" t="s">
        <v>10</v>
      </c>
      <c r="D25" s="86"/>
      <c r="E25" s="86"/>
      <c r="F25" s="87">
        <f>SUM(F20:F24)</f>
        <v>600</v>
      </c>
      <c r="G25" s="87"/>
      <c r="H25" s="88"/>
      <c r="I25" s="88"/>
      <c r="J25" s="88"/>
      <c r="K25" s="88"/>
      <c r="L25" s="88"/>
      <c r="M25" s="89"/>
      <c r="N25" s="62"/>
    </row>
    <row r="26" spans="2:14" ht="13.15" customHeight="1">
      <c r="B26" s="58"/>
      <c r="C26" s="59"/>
      <c r="D26" s="65"/>
      <c r="E26" s="65"/>
      <c r="F26" s="65"/>
      <c r="G26" s="65"/>
      <c r="K26" s="65"/>
      <c r="L26" s="65"/>
      <c r="N26" s="62"/>
    </row>
    <row r="27" spans="2:14" ht="13.15" customHeight="1">
      <c r="B27" s="58"/>
      <c r="C27" s="68" t="s">
        <v>11</v>
      </c>
      <c r="D27" s="69"/>
      <c r="E27" s="69"/>
      <c r="F27" s="69"/>
      <c r="G27" s="69"/>
      <c r="H27" s="69"/>
      <c r="I27" s="69"/>
      <c r="J27" s="69"/>
      <c r="K27" s="69"/>
      <c r="L27" s="69"/>
      <c r="M27" s="70"/>
      <c r="N27" s="62"/>
    </row>
    <row r="28" spans="2:14" ht="13.15" customHeight="1">
      <c r="B28" s="58"/>
      <c r="C28" s="71" t="s">
        <v>111</v>
      </c>
      <c r="D28" s="72" t="s">
        <v>215</v>
      </c>
      <c r="E28" s="72" t="s">
        <v>216</v>
      </c>
      <c r="F28" s="72" t="s">
        <v>97</v>
      </c>
      <c r="G28" s="72"/>
      <c r="H28" s="248" t="s">
        <v>137</v>
      </c>
      <c r="I28" s="248"/>
      <c r="J28" s="248"/>
      <c r="K28" s="248"/>
      <c r="L28" s="248"/>
      <c r="M28" s="73" t="s">
        <v>138</v>
      </c>
      <c r="N28" s="62"/>
    </row>
    <row r="29" spans="2:14" ht="13.15" customHeight="1">
      <c r="B29" s="58"/>
      <c r="C29" s="74" t="s">
        <v>86</v>
      </c>
      <c r="D29" s="90">
        <f>+F14</f>
        <v>1750</v>
      </c>
      <c r="E29" s="90">
        <f>F29/D29</f>
        <v>500</v>
      </c>
      <c r="F29" s="91">
        <v>875000</v>
      </c>
      <c r="G29" s="92"/>
      <c r="H29" s="249"/>
      <c r="I29" s="249"/>
      <c r="J29" s="249"/>
      <c r="K29" s="249"/>
      <c r="L29" s="249"/>
      <c r="M29" s="93" t="s">
        <v>162</v>
      </c>
      <c r="N29" s="62"/>
    </row>
    <row r="30" spans="2:14" ht="13.15" customHeight="1">
      <c r="B30" s="58"/>
      <c r="C30" s="74" t="s">
        <v>12</v>
      </c>
      <c r="D30" s="90">
        <f>F14</f>
        <v>1750</v>
      </c>
      <c r="E30" s="90">
        <f>F30/D30</f>
        <v>150</v>
      </c>
      <c r="F30" s="91">
        <v>262500</v>
      </c>
      <c r="G30" s="92"/>
      <c r="H30" s="249"/>
      <c r="I30" s="249"/>
      <c r="J30" s="249"/>
      <c r="K30" s="249"/>
      <c r="L30" s="249"/>
      <c r="M30" s="93" t="s">
        <v>140</v>
      </c>
      <c r="N30" s="62"/>
    </row>
    <row r="31" spans="2:14" ht="13.15" customHeight="1">
      <c r="B31" s="58"/>
      <c r="C31" s="74" t="s">
        <v>87</v>
      </c>
      <c r="D31" s="90">
        <f>F25</f>
        <v>600</v>
      </c>
      <c r="E31" s="90">
        <f>F31/D31</f>
        <v>2200</v>
      </c>
      <c r="F31" s="91">
        <v>1320000</v>
      </c>
      <c r="G31" s="92"/>
      <c r="H31" s="249"/>
      <c r="I31" s="249"/>
      <c r="J31" s="249"/>
      <c r="K31" s="249"/>
      <c r="L31" s="249"/>
      <c r="M31" s="93" t="s">
        <v>141</v>
      </c>
      <c r="N31" s="62"/>
    </row>
    <row r="32" spans="2:14" ht="13.15" customHeight="1">
      <c r="B32" s="58"/>
      <c r="C32" s="94" t="s">
        <v>88</v>
      </c>
      <c r="D32" s="95"/>
      <c r="E32" s="95" t="s">
        <v>89</v>
      </c>
      <c r="F32" s="91">
        <v>150000</v>
      </c>
      <c r="G32" s="92"/>
      <c r="H32" s="249"/>
      <c r="I32" s="249"/>
      <c r="J32" s="249"/>
      <c r="K32" s="249"/>
      <c r="L32" s="249"/>
      <c r="M32" s="96" t="s">
        <v>142</v>
      </c>
      <c r="N32" s="62"/>
    </row>
    <row r="33" spans="2:14" ht="13.15" customHeight="1">
      <c r="B33" s="58"/>
      <c r="C33" s="94" t="s">
        <v>90</v>
      </c>
      <c r="D33" s="95"/>
      <c r="E33" s="95"/>
      <c r="F33" s="91">
        <v>100000</v>
      </c>
      <c r="G33" s="92"/>
      <c r="H33" s="249"/>
      <c r="I33" s="249"/>
      <c r="J33" s="249"/>
      <c r="K33" s="249"/>
      <c r="L33" s="249"/>
      <c r="M33" s="93" t="s">
        <v>143</v>
      </c>
      <c r="N33" s="62"/>
    </row>
    <row r="34" spans="2:14" ht="13.15" customHeight="1">
      <c r="B34" s="58"/>
      <c r="C34" s="94" t="s">
        <v>91</v>
      </c>
      <c r="D34" s="95"/>
      <c r="E34" s="95"/>
      <c r="F34" s="91">
        <v>0</v>
      </c>
      <c r="G34" s="92"/>
      <c r="H34" s="249"/>
      <c r="I34" s="249"/>
      <c r="J34" s="249"/>
      <c r="K34" s="249"/>
      <c r="L34" s="249"/>
      <c r="M34" s="93" t="s">
        <v>163</v>
      </c>
      <c r="N34" s="62"/>
    </row>
    <row r="35" spans="2:14" ht="13.15" customHeight="1">
      <c r="B35" s="58"/>
      <c r="C35" s="74" t="s">
        <v>92</v>
      </c>
      <c r="D35" s="95"/>
      <c r="E35" s="95"/>
      <c r="F35" s="91">
        <v>25000</v>
      </c>
      <c r="G35" s="92"/>
      <c r="H35" s="249"/>
      <c r="I35" s="249"/>
      <c r="J35" s="249"/>
      <c r="K35" s="249"/>
      <c r="L35" s="249"/>
      <c r="M35" s="93" t="s">
        <v>144</v>
      </c>
      <c r="N35" s="62"/>
    </row>
    <row r="36" spans="2:14" ht="13.15" customHeight="1">
      <c r="B36" s="58"/>
      <c r="C36" s="74" t="s">
        <v>93</v>
      </c>
      <c r="D36" s="97">
        <f>IFERROR(F36/SUM(F30:F35),"n/a")</f>
        <v>0.10767160161507403</v>
      </c>
      <c r="E36" s="95"/>
      <c r="F36" s="91">
        <v>200000</v>
      </c>
      <c r="G36" s="92"/>
      <c r="H36" s="249"/>
      <c r="I36" s="249"/>
      <c r="J36" s="249"/>
      <c r="K36" s="249"/>
      <c r="L36" s="249"/>
      <c r="M36" s="93" t="s">
        <v>145</v>
      </c>
      <c r="N36" s="62"/>
    </row>
    <row r="37" spans="2:14" ht="13.15" customHeight="1">
      <c r="B37" s="58"/>
      <c r="C37" s="94" t="s">
        <v>94</v>
      </c>
      <c r="D37" s="95"/>
      <c r="E37" s="95"/>
      <c r="F37" s="91">
        <v>50000</v>
      </c>
      <c r="G37" s="92"/>
      <c r="H37" s="249"/>
      <c r="I37" s="249"/>
      <c r="J37" s="249"/>
      <c r="K37" s="249"/>
      <c r="L37" s="249"/>
      <c r="M37" s="93" t="s">
        <v>146</v>
      </c>
      <c r="N37" s="62"/>
    </row>
    <row r="38" spans="2:14" ht="13.15" customHeight="1">
      <c r="B38" s="58"/>
      <c r="C38" s="74" t="s">
        <v>95</v>
      </c>
      <c r="D38" s="98">
        <v>0.15</v>
      </c>
      <c r="E38" s="95"/>
      <c r="F38" s="99">
        <f>SUM(F30:F36)*D38</f>
        <v>308625</v>
      </c>
      <c r="G38" s="92"/>
      <c r="H38" s="249"/>
      <c r="I38" s="249"/>
      <c r="J38" s="249"/>
      <c r="K38" s="249"/>
      <c r="L38" s="249"/>
      <c r="M38" s="93" t="s">
        <v>164</v>
      </c>
      <c r="N38" s="62"/>
    </row>
    <row r="39" spans="2:14" ht="13.15" customHeight="1">
      <c r="B39" s="58"/>
      <c r="C39" s="85" t="s">
        <v>14</v>
      </c>
      <c r="D39" s="86"/>
      <c r="E39" s="100"/>
      <c r="F39" s="101">
        <f>SUM(F29:F38)</f>
        <v>3291125</v>
      </c>
      <c r="G39" s="101"/>
      <c r="H39" s="101"/>
      <c r="I39" s="101"/>
      <c r="J39" s="101"/>
      <c r="K39" s="101"/>
      <c r="L39" s="101"/>
      <c r="M39" s="102"/>
      <c r="N39" s="62"/>
    </row>
    <row r="40" spans="2:14" ht="13.15" customHeight="1">
      <c r="B40" s="58"/>
      <c r="N40" s="62"/>
    </row>
    <row r="41" spans="2:14" ht="13.15" customHeight="1">
      <c r="B41" s="58"/>
      <c r="C41" s="68" t="s">
        <v>112</v>
      </c>
      <c r="D41" s="69"/>
      <c r="E41" s="69"/>
      <c r="F41" s="69"/>
      <c r="G41" s="69"/>
      <c r="H41" s="69"/>
      <c r="I41" s="69"/>
      <c r="J41" s="69"/>
      <c r="K41" s="69"/>
      <c r="L41" s="69"/>
      <c r="M41" s="70"/>
      <c r="N41" s="62"/>
    </row>
    <row r="42" spans="2:14" ht="13.15" customHeight="1">
      <c r="B42" s="58"/>
      <c r="C42" s="71" t="s">
        <v>33</v>
      </c>
      <c r="D42" s="72" t="s">
        <v>217</v>
      </c>
      <c r="E42" s="72" t="s">
        <v>218</v>
      </c>
      <c r="F42" s="72" t="s">
        <v>98</v>
      </c>
      <c r="G42" s="72"/>
      <c r="H42" s="248" t="s">
        <v>137</v>
      </c>
      <c r="I42" s="248"/>
      <c r="J42" s="248"/>
      <c r="K42" s="248"/>
      <c r="L42" s="248"/>
      <c r="M42" s="73" t="s">
        <v>138</v>
      </c>
      <c r="N42" s="62"/>
    </row>
    <row r="43" spans="2:14" ht="13.15" customHeight="1">
      <c r="B43" s="58"/>
      <c r="C43" s="74" t="s">
        <v>106</v>
      </c>
      <c r="D43" s="99">
        <f>E15</f>
        <v>50</v>
      </c>
      <c r="E43" s="99">
        <f>$F$39/$F$20</f>
        <v>5485.208333333333</v>
      </c>
      <c r="F43" s="99">
        <f>D43*E43</f>
        <v>274260.41666666663</v>
      </c>
      <c r="G43" s="99"/>
      <c r="H43" s="244" t="s">
        <v>147</v>
      </c>
      <c r="I43" s="244"/>
      <c r="J43" s="244"/>
      <c r="K43" s="244"/>
      <c r="L43" s="244"/>
      <c r="M43" s="93" t="s">
        <v>148</v>
      </c>
      <c r="N43" s="62"/>
    </row>
    <row r="44" spans="2:14" ht="13.15" customHeight="1">
      <c r="B44" s="58"/>
      <c r="C44" s="74" t="s">
        <v>107</v>
      </c>
      <c r="D44" s="99">
        <f>E16</f>
        <v>70</v>
      </c>
      <c r="E44" s="99">
        <f>$F$39/$F$20</f>
        <v>5485.208333333333</v>
      </c>
      <c r="F44" s="99">
        <f>D44*E44</f>
        <v>383964.58333333331</v>
      </c>
      <c r="G44" s="99"/>
      <c r="H44" s="244" t="s">
        <v>147</v>
      </c>
      <c r="I44" s="244"/>
      <c r="J44" s="244"/>
      <c r="K44" s="244"/>
      <c r="L44" s="244"/>
      <c r="M44" s="103" t="s">
        <v>15</v>
      </c>
      <c r="N44" s="62"/>
    </row>
    <row r="45" spans="2:14" ht="13.15" customHeight="1">
      <c r="B45" s="58"/>
      <c r="C45" s="74" t="s">
        <v>108</v>
      </c>
      <c r="D45" s="99">
        <f>E17</f>
        <v>0</v>
      </c>
      <c r="E45" s="99">
        <f>$F$39/$F$20</f>
        <v>5485.208333333333</v>
      </c>
      <c r="F45" s="99">
        <f>D45*E45</f>
        <v>0</v>
      </c>
      <c r="G45" s="99"/>
      <c r="H45" s="244" t="s">
        <v>147</v>
      </c>
      <c r="I45" s="244"/>
      <c r="J45" s="244"/>
      <c r="K45" s="244"/>
      <c r="L45" s="244"/>
      <c r="M45" s="103" t="s">
        <v>15</v>
      </c>
      <c r="N45" s="62"/>
    </row>
    <row r="46" spans="2:14" ht="13.15" customHeight="1">
      <c r="B46" s="58"/>
      <c r="C46" s="74" t="s">
        <v>109</v>
      </c>
      <c r="D46" s="99">
        <f>E18</f>
        <v>0</v>
      </c>
      <c r="E46" s="99">
        <f>$F$39/$F$20</f>
        <v>5485.208333333333</v>
      </c>
      <c r="F46" s="99">
        <f>D46*E46</f>
        <v>0</v>
      </c>
      <c r="G46" s="99"/>
      <c r="H46" s="244" t="s">
        <v>147</v>
      </c>
      <c r="I46" s="244"/>
      <c r="J46" s="244"/>
      <c r="K46" s="244"/>
      <c r="L46" s="244"/>
      <c r="M46" s="103" t="s">
        <v>15</v>
      </c>
      <c r="N46" s="62"/>
    </row>
    <row r="47" spans="2:14" ht="13.15" customHeight="1">
      <c r="B47" s="58"/>
      <c r="C47" s="104" t="s">
        <v>110</v>
      </c>
      <c r="D47" s="105">
        <f>E19</f>
        <v>0</v>
      </c>
      <c r="E47" s="105">
        <f>$F$39/$F$20</f>
        <v>5485.208333333333</v>
      </c>
      <c r="F47" s="105">
        <f>D47*E47</f>
        <v>0</v>
      </c>
      <c r="G47" s="105"/>
      <c r="H47" s="245" t="s">
        <v>147</v>
      </c>
      <c r="I47" s="245"/>
      <c r="J47" s="245"/>
      <c r="K47" s="245"/>
      <c r="L47" s="245"/>
      <c r="M47" s="106" t="s">
        <v>15</v>
      </c>
      <c r="N47" s="62"/>
    </row>
    <row r="48" spans="2:14" ht="13.15" customHeight="1">
      <c r="B48" s="58"/>
      <c r="C48" s="59"/>
      <c r="D48" s="65"/>
      <c r="E48" s="65"/>
      <c r="F48" s="67"/>
      <c r="G48" s="65"/>
      <c r="K48" s="65"/>
      <c r="L48" s="65"/>
      <c r="N48" s="62"/>
    </row>
    <row r="49" spans="2:14" ht="13.15" customHeight="1">
      <c r="B49" s="58"/>
      <c r="C49" s="68" t="s">
        <v>159</v>
      </c>
      <c r="D49" s="69"/>
      <c r="E49" s="69"/>
      <c r="F49" s="69"/>
      <c r="G49" s="69"/>
      <c r="H49" s="69"/>
      <c r="I49" s="69"/>
      <c r="J49" s="69"/>
      <c r="K49" s="69"/>
      <c r="L49" s="69"/>
      <c r="M49" s="70"/>
      <c r="N49" s="62"/>
    </row>
    <row r="50" spans="2:14" ht="13.15" customHeight="1">
      <c r="B50" s="58"/>
      <c r="C50" s="71" t="s">
        <v>149</v>
      </c>
      <c r="D50" s="72" t="s">
        <v>105</v>
      </c>
      <c r="E50" s="72" t="s">
        <v>149</v>
      </c>
      <c r="F50" s="72" t="s">
        <v>156</v>
      </c>
      <c r="G50" s="72"/>
      <c r="H50" s="248" t="s">
        <v>137</v>
      </c>
      <c r="I50" s="248"/>
      <c r="J50" s="248"/>
      <c r="K50" s="248"/>
      <c r="L50" s="248"/>
      <c r="M50" s="73" t="s">
        <v>138</v>
      </c>
      <c r="N50" s="62"/>
    </row>
    <row r="51" spans="2:14" ht="13.15" customHeight="1">
      <c r="B51" s="58"/>
      <c r="C51" s="74" t="s">
        <v>106</v>
      </c>
      <c r="D51" s="107">
        <f>D15</f>
        <v>5</v>
      </c>
      <c r="E51" s="79">
        <v>350</v>
      </c>
      <c r="F51" s="99">
        <f>D51*E51*52</f>
        <v>91000</v>
      </c>
      <c r="G51" s="99"/>
      <c r="H51" s="249"/>
      <c r="I51" s="249"/>
      <c r="J51" s="249"/>
      <c r="K51" s="249"/>
      <c r="L51" s="249"/>
      <c r="M51" s="93" t="s">
        <v>150</v>
      </c>
      <c r="N51" s="62"/>
    </row>
    <row r="52" spans="2:14" ht="13.15" customHeight="1">
      <c r="B52" s="58"/>
      <c r="C52" s="74" t="s">
        <v>107</v>
      </c>
      <c r="D52" s="107">
        <f t="shared" ref="D52:D55" si="0">D16</f>
        <v>5</v>
      </c>
      <c r="E52" s="79">
        <v>450</v>
      </c>
      <c r="F52" s="99">
        <f t="shared" ref="F52:F55" si="1">D52*E52*52</f>
        <v>117000</v>
      </c>
      <c r="G52" s="99"/>
      <c r="H52" s="249"/>
      <c r="I52" s="249"/>
      <c r="J52" s="249"/>
      <c r="K52" s="249"/>
      <c r="L52" s="249"/>
      <c r="M52" s="103" t="s">
        <v>15</v>
      </c>
      <c r="N52" s="62"/>
    </row>
    <row r="53" spans="2:14" ht="13.15" customHeight="1">
      <c r="B53" s="58"/>
      <c r="C53" s="74" t="s">
        <v>108</v>
      </c>
      <c r="D53" s="107">
        <f t="shared" si="0"/>
        <v>0</v>
      </c>
      <c r="E53" s="79"/>
      <c r="F53" s="99">
        <f t="shared" si="1"/>
        <v>0</v>
      </c>
      <c r="G53" s="99"/>
      <c r="H53" s="249"/>
      <c r="I53" s="249"/>
      <c r="J53" s="249"/>
      <c r="K53" s="249"/>
      <c r="L53" s="249"/>
      <c r="M53" s="103" t="s">
        <v>15</v>
      </c>
      <c r="N53" s="62"/>
    </row>
    <row r="54" spans="2:14" ht="13.15" customHeight="1">
      <c r="B54" s="58"/>
      <c r="C54" s="74" t="s">
        <v>109</v>
      </c>
      <c r="D54" s="107">
        <f t="shared" si="0"/>
        <v>0</v>
      </c>
      <c r="E54" s="79"/>
      <c r="F54" s="99">
        <f t="shared" si="1"/>
        <v>0</v>
      </c>
      <c r="G54" s="99"/>
      <c r="H54" s="249"/>
      <c r="I54" s="249"/>
      <c r="J54" s="249"/>
      <c r="K54" s="249"/>
      <c r="L54" s="249"/>
      <c r="M54" s="103" t="s">
        <v>15</v>
      </c>
      <c r="N54" s="62"/>
    </row>
    <row r="55" spans="2:14" ht="13.15" customHeight="1">
      <c r="B55" s="58"/>
      <c r="C55" s="74" t="s">
        <v>110</v>
      </c>
      <c r="D55" s="107">
        <f t="shared" si="0"/>
        <v>0</v>
      </c>
      <c r="E55" s="79"/>
      <c r="F55" s="99">
        <f t="shared" si="1"/>
        <v>0</v>
      </c>
      <c r="G55" s="99"/>
      <c r="H55" s="249"/>
      <c r="I55" s="249"/>
      <c r="J55" s="249"/>
      <c r="K55" s="249"/>
      <c r="L55" s="249"/>
      <c r="M55" s="106" t="s">
        <v>15</v>
      </c>
      <c r="N55" s="62"/>
    </row>
    <row r="56" spans="2:14" ht="13.15" customHeight="1">
      <c r="B56" s="58"/>
      <c r="C56" s="108"/>
      <c r="D56" s="109"/>
      <c r="E56" s="110"/>
      <c r="F56" s="111">
        <f>SUM(F51:F55)</f>
        <v>208000</v>
      </c>
      <c r="G56" s="111"/>
      <c r="H56" s="112"/>
      <c r="I56" s="112"/>
      <c r="J56" s="112"/>
      <c r="K56" s="112"/>
      <c r="L56" s="112"/>
      <c r="M56" s="113"/>
      <c r="N56" s="62"/>
    </row>
    <row r="57" spans="2:14" ht="13.15" customHeight="1">
      <c r="B57" s="58"/>
      <c r="C57" s="74" t="s">
        <v>16</v>
      </c>
      <c r="E57" s="114">
        <v>0.98</v>
      </c>
      <c r="F57" s="99"/>
      <c r="G57" s="115"/>
      <c r="H57" s="249"/>
      <c r="I57" s="249"/>
      <c r="J57" s="249"/>
      <c r="K57" s="249"/>
      <c r="L57" s="249"/>
      <c r="M57" s="93" t="s">
        <v>151</v>
      </c>
      <c r="N57" s="62"/>
    </row>
    <row r="58" spans="2:14" ht="13.15" customHeight="1">
      <c r="B58" s="58"/>
      <c r="C58" s="74" t="s">
        <v>169</v>
      </c>
      <c r="E58" s="114">
        <v>0.1</v>
      </c>
      <c r="F58" s="99"/>
      <c r="G58" s="116"/>
      <c r="H58" s="249"/>
      <c r="I58" s="249"/>
      <c r="J58" s="249"/>
      <c r="K58" s="249"/>
      <c r="L58" s="249"/>
      <c r="M58" s="93" t="s">
        <v>189</v>
      </c>
      <c r="N58" s="62"/>
    </row>
    <row r="59" spans="2:14" ht="13.15" customHeight="1">
      <c r="B59" s="58"/>
      <c r="C59" s="74" t="s">
        <v>160</v>
      </c>
      <c r="E59" s="114">
        <v>0.05</v>
      </c>
      <c r="F59" s="99"/>
      <c r="G59" s="116"/>
      <c r="H59" s="249"/>
      <c r="I59" s="249"/>
      <c r="J59" s="249"/>
      <c r="K59" s="249"/>
      <c r="L59" s="249"/>
      <c r="M59" s="93" t="s">
        <v>190</v>
      </c>
      <c r="N59" s="62"/>
    </row>
    <row r="60" spans="2:14" ht="13.15" customHeight="1">
      <c r="B60" s="58"/>
      <c r="C60" s="74"/>
      <c r="F60" s="99"/>
      <c r="G60" s="116"/>
      <c r="H60" s="53"/>
      <c r="I60" s="53"/>
      <c r="J60" s="53"/>
      <c r="K60" s="117"/>
      <c r="L60" s="117"/>
      <c r="M60" s="93"/>
      <c r="N60" s="62"/>
    </row>
    <row r="61" spans="2:14" ht="13.15" customHeight="1">
      <c r="B61" s="58"/>
      <c r="C61" s="71" t="s">
        <v>113</v>
      </c>
      <c r="D61" s="72"/>
      <c r="E61" s="72" t="s">
        <v>114</v>
      </c>
      <c r="F61" s="118" t="s">
        <v>103</v>
      </c>
      <c r="G61" s="116"/>
      <c r="H61" s="53"/>
      <c r="I61" s="53"/>
      <c r="J61" s="53"/>
      <c r="K61" s="117"/>
      <c r="L61" s="117"/>
      <c r="M61" s="93" t="s">
        <v>133</v>
      </c>
      <c r="N61" s="62"/>
    </row>
    <row r="62" spans="2:14" ht="13.15" customHeight="1">
      <c r="B62" s="58"/>
      <c r="C62" s="74" t="s">
        <v>17</v>
      </c>
      <c r="D62" s="119"/>
      <c r="E62" s="91">
        <v>25000</v>
      </c>
      <c r="F62" s="184" t="s">
        <v>18</v>
      </c>
      <c r="G62" s="116"/>
      <c r="H62" s="249" t="s">
        <v>134</v>
      </c>
      <c r="I62" s="249"/>
      <c r="J62" s="249"/>
      <c r="K62" s="249"/>
      <c r="L62" s="249"/>
      <c r="M62" s="93"/>
      <c r="N62" s="62"/>
    </row>
    <row r="63" spans="2:14" ht="13.15" customHeight="1">
      <c r="B63" s="58"/>
      <c r="C63" s="74" t="s">
        <v>19</v>
      </c>
      <c r="D63" s="119"/>
      <c r="E63" s="91">
        <v>12500</v>
      </c>
      <c r="F63" s="184" t="s">
        <v>18</v>
      </c>
      <c r="G63" s="116"/>
      <c r="H63" s="249" t="s">
        <v>155</v>
      </c>
      <c r="I63" s="249"/>
      <c r="J63" s="249"/>
      <c r="K63" s="249"/>
      <c r="L63" s="249"/>
      <c r="M63" s="93"/>
      <c r="N63" s="62"/>
    </row>
    <row r="64" spans="2:14" ht="13.15" customHeight="1">
      <c r="B64" s="58"/>
      <c r="C64" s="74" t="s">
        <v>20</v>
      </c>
      <c r="D64" s="119"/>
      <c r="E64" s="91">
        <v>2500</v>
      </c>
      <c r="F64" s="184" t="s">
        <v>3</v>
      </c>
      <c r="G64" s="116"/>
      <c r="H64" s="249"/>
      <c r="I64" s="249"/>
      <c r="J64" s="249"/>
      <c r="K64" s="249"/>
      <c r="L64" s="249"/>
      <c r="M64" s="93"/>
      <c r="N64" s="62"/>
    </row>
    <row r="65" spans="2:14" ht="13.15" customHeight="1">
      <c r="B65" s="58"/>
      <c r="C65" s="74" t="s">
        <v>21</v>
      </c>
      <c r="D65" s="119"/>
      <c r="E65" s="91">
        <v>1000</v>
      </c>
      <c r="F65" s="184" t="s">
        <v>3</v>
      </c>
      <c r="G65" s="116"/>
      <c r="H65" s="249"/>
      <c r="I65" s="249"/>
      <c r="J65" s="249"/>
      <c r="K65" s="249"/>
      <c r="L65" s="249"/>
      <c r="M65" s="93" t="s">
        <v>191</v>
      </c>
      <c r="N65" s="62"/>
    </row>
    <row r="66" spans="2:14" ht="13.15" customHeight="1">
      <c r="B66" s="58"/>
      <c r="C66" s="74" t="s">
        <v>22</v>
      </c>
      <c r="D66" s="119"/>
      <c r="E66" s="91">
        <v>500</v>
      </c>
      <c r="F66" s="184" t="s">
        <v>3</v>
      </c>
      <c r="G66" s="116"/>
      <c r="H66" s="249"/>
      <c r="I66" s="249"/>
      <c r="J66" s="249"/>
      <c r="K66" s="249"/>
      <c r="L66" s="249"/>
      <c r="M66" s="93" t="s">
        <v>131</v>
      </c>
      <c r="N66" s="62"/>
    </row>
    <row r="67" spans="2:14" ht="13.15" customHeight="1">
      <c r="B67" s="58"/>
      <c r="C67" s="74" t="s">
        <v>23</v>
      </c>
      <c r="D67" s="119"/>
      <c r="E67" s="91">
        <v>2000</v>
      </c>
      <c r="F67" s="184" t="s">
        <v>18</v>
      </c>
      <c r="G67" s="116"/>
      <c r="H67" s="249"/>
      <c r="I67" s="249"/>
      <c r="J67" s="249"/>
      <c r="K67" s="249"/>
      <c r="L67" s="249"/>
      <c r="M67" s="93" t="s">
        <v>118</v>
      </c>
      <c r="N67" s="62"/>
    </row>
    <row r="68" spans="2:14" ht="13.15" customHeight="1">
      <c r="B68" s="58"/>
      <c r="C68" s="74" t="s">
        <v>117</v>
      </c>
      <c r="D68" s="119"/>
      <c r="E68" s="91">
        <v>4000</v>
      </c>
      <c r="F68" s="184" t="s">
        <v>3</v>
      </c>
      <c r="G68" s="116"/>
      <c r="H68" s="249"/>
      <c r="I68" s="249"/>
      <c r="J68" s="249"/>
      <c r="K68" s="249"/>
      <c r="L68" s="249"/>
      <c r="M68" s="93" t="s">
        <v>116</v>
      </c>
      <c r="N68" s="62"/>
    </row>
    <row r="69" spans="2:14" ht="13.15" customHeight="1">
      <c r="B69" s="58"/>
      <c r="C69" s="74" t="s">
        <v>24</v>
      </c>
      <c r="D69" s="119"/>
      <c r="E69" s="91">
        <v>15000</v>
      </c>
      <c r="F69" s="184" t="s">
        <v>18</v>
      </c>
      <c r="G69" s="116"/>
      <c r="H69" s="249"/>
      <c r="I69" s="249"/>
      <c r="J69" s="249"/>
      <c r="K69" s="249"/>
      <c r="L69" s="249"/>
      <c r="M69" s="93" t="s">
        <v>165</v>
      </c>
      <c r="N69" s="62"/>
    </row>
    <row r="70" spans="2:14" ht="13.15" customHeight="1">
      <c r="B70" s="58"/>
      <c r="C70" s="74" t="s">
        <v>25</v>
      </c>
      <c r="D70" s="119"/>
      <c r="E70" s="91">
        <v>15000</v>
      </c>
      <c r="F70" s="184" t="s">
        <v>3</v>
      </c>
      <c r="G70" s="116"/>
      <c r="H70" s="249"/>
      <c r="I70" s="249"/>
      <c r="J70" s="249"/>
      <c r="K70" s="249"/>
      <c r="L70" s="249"/>
      <c r="M70" s="93" t="s">
        <v>152</v>
      </c>
      <c r="N70" s="62"/>
    </row>
    <row r="71" spans="2:14" ht="13.15" customHeight="1">
      <c r="B71" s="58"/>
      <c r="C71" s="74" t="s">
        <v>26</v>
      </c>
      <c r="D71" s="119"/>
      <c r="E71" s="91">
        <v>3500</v>
      </c>
      <c r="F71" s="184" t="s">
        <v>3</v>
      </c>
      <c r="G71" s="116"/>
      <c r="H71" s="249"/>
      <c r="I71" s="249"/>
      <c r="J71" s="249"/>
      <c r="K71" s="249"/>
      <c r="L71" s="249"/>
      <c r="M71" s="93" t="s">
        <v>115</v>
      </c>
      <c r="N71" s="62"/>
    </row>
    <row r="72" spans="2:14" ht="13.15" customHeight="1">
      <c r="B72" s="58"/>
      <c r="C72" s="74" t="s">
        <v>27</v>
      </c>
      <c r="D72" s="119"/>
      <c r="E72" s="91">
        <v>28000</v>
      </c>
      <c r="F72" s="184" t="s">
        <v>3</v>
      </c>
      <c r="G72" s="116"/>
      <c r="H72" s="249"/>
      <c r="I72" s="249"/>
      <c r="J72" s="249"/>
      <c r="K72" s="249"/>
      <c r="L72" s="249"/>
      <c r="M72" s="93" t="s">
        <v>135</v>
      </c>
      <c r="N72" s="62"/>
    </row>
    <row r="73" spans="2:14" ht="13.15" customHeight="1">
      <c r="B73" s="58"/>
      <c r="C73" s="74" t="s">
        <v>119</v>
      </c>
      <c r="D73" s="119"/>
      <c r="E73" s="91">
        <v>10000</v>
      </c>
      <c r="F73" s="184" t="s">
        <v>18</v>
      </c>
      <c r="G73" s="116"/>
      <c r="H73" s="249"/>
      <c r="I73" s="249"/>
      <c r="J73" s="249"/>
      <c r="K73" s="249"/>
      <c r="L73" s="249"/>
      <c r="M73" s="93" t="s">
        <v>153</v>
      </c>
      <c r="N73" s="62"/>
    </row>
    <row r="74" spans="2:14" ht="13.15" customHeight="1">
      <c r="B74" s="58"/>
      <c r="C74" s="74" t="s">
        <v>13</v>
      </c>
      <c r="D74" s="119"/>
      <c r="E74" s="91">
        <v>0</v>
      </c>
      <c r="F74" s="184" t="s">
        <v>28</v>
      </c>
      <c r="G74" s="116"/>
      <c r="H74" s="249" t="s">
        <v>120</v>
      </c>
      <c r="I74" s="249"/>
      <c r="J74" s="249"/>
      <c r="K74" s="249"/>
      <c r="L74" s="249"/>
      <c r="M74" s="93" t="s">
        <v>154</v>
      </c>
      <c r="N74" s="62"/>
    </row>
    <row r="75" spans="2:14" ht="13.15" customHeight="1">
      <c r="B75" s="58"/>
      <c r="C75" s="74" t="s">
        <v>13</v>
      </c>
      <c r="D75" s="119"/>
      <c r="E75" s="91">
        <v>0</v>
      </c>
      <c r="F75" s="184" t="s">
        <v>28</v>
      </c>
      <c r="G75" s="116"/>
      <c r="H75" s="249" t="s">
        <v>120</v>
      </c>
      <c r="I75" s="249"/>
      <c r="J75" s="249"/>
      <c r="K75" s="249"/>
      <c r="L75" s="249"/>
      <c r="M75" s="93" t="s">
        <v>154</v>
      </c>
      <c r="N75" s="62"/>
    </row>
    <row r="76" spans="2:14" ht="13.15" customHeight="1">
      <c r="B76" s="58"/>
      <c r="C76" s="108" t="s">
        <v>157</v>
      </c>
      <c r="D76" s="120"/>
      <c r="E76" s="120">
        <f>SUM(E62:E75)</f>
        <v>119000</v>
      </c>
      <c r="F76" s="120"/>
      <c r="G76" s="121"/>
      <c r="H76" s="122"/>
      <c r="I76" s="122"/>
      <c r="J76" s="122"/>
      <c r="K76" s="121"/>
      <c r="L76" s="121"/>
      <c r="M76" s="123"/>
      <c r="N76" s="62"/>
    </row>
    <row r="77" spans="2:14" ht="13.15" customHeight="1">
      <c r="B77" s="58"/>
      <c r="C77" s="104"/>
      <c r="D77" s="124"/>
      <c r="E77" s="125"/>
      <c r="F77" s="126"/>
      <c r="G77" s="127"/>
      <c r="H77" s="128"/>
      <c r="I77" s="128"/>
      <c r="J77" s="128"/>
      <c r="K77" s="127"/>
      <c r="L77" s="127"/>
      <c r="M77" s="129"/>
      <c r="N77" s="62"/>
    </row>
    <row r="78" spans="2:14" ht="13.15" customHeight="1">
      <c r="B78" s="58"/>
      <c r="F78" s="92"/>
      <c r="N78" s="62"/>
    </row>
    <row r="79" spans="2:14" ht="13.15" customHeight="1">
      <c r="B79" s="58"/>
      <c r="C79" s="68" t="s">
        <v>166</v>
      </c>
      <c r="D79" s="130"/>
      <c r="E79" s="69"/>
      <c r="F79" s="69"/>
      <c r="G79" s="69"/>
      <c r="H79" s="69"/>
      <c r="I79" s="69"/>
      <c r="J79" s="69"/>
      <c r="K79" s="69"/>
      <c r="L79" s="69"/>
      <c r="M79" s="70"/>
      <c r="N79" s="62"/>
    </row>
    <row r="80" spans="2:14" ht="13.15" customHeight="1">
      <c r="B80" s="58"/>
      <c r="C80" s="71"/>
      <c r="E80" s="72"/>
      <c r="F80" s="72"/>
      <c r="G80" s="72"/>
      <c r="H80" s="72"/>
      <c r="I80" s="72"/>
      <c r="J80" s="72"/>
      <c r="K80" s="72"/>
      <c r="L80" s="72"/>
      <c r="M80" s="62"/>
      <c r="N80" s="62"/>
    </row>
    <row r="81" spans="2:14">
      <c r="B81" s="58"/>
      <c r="C81" s="71" t="s">
        <v>122</v>
      </c>
      <c r="D81" s="230" t="s">
        <v>261</v>
      </c>
      <c r="E81" s="72" t="s">
        <v>52</v>
      </c>
      <c r="F81" s="72" t="s">
        <v>167</v>
      </c>
      <c r="G81" s="240" t="s">
        <v>265</v>
      </c>
      <c r="H81" s="132" t="s">
        <v>18</v>
      </c>
      <c r="I81" s="72" t="s">
        <v>3</v>
      </c>
      <c r="J81" s="240" t="s">
        <v>266</v>
      </c>
      <c r="K81" s="72" t="s">
        <v>132</v>
      </c>
      <c r="L81" s="72"/>
      <c r="M81" s="62"/>
      <c r="N81" s="62"/>
    </row>
    <row r="82" spans="2:14" ht="13.15" customHeight="1">
      <c r="B82" s="58"/>
      <c r="C82" s="74" t="s">
        <v>29</v>
      </c>
      <c r="D82" s="231"/>
      <c r="E82" s="133">
        <f>SUMPRODUCT('Build-to-Lease OS Calculator'!D15:D19,'Build-to-Lease OS Calculator'!E51:E55)*52</f>
        <v>208000</v>
      </c>
      <c r="F82" s="133">
        <f>E82/'Build-to-Lease OS Calculator'!$D$20</f>
        <v>20800</v>
      </c>
      <c r="G82" s="131"/>
      <c r="H82" s="119">
        <f>E82</f>
        <v>208000</v>
      </c>
      <c r="I82" s="119">
        <v>0</v>
      </c>
      <c r="J82" s="131"/>
      <c r="K82" s="119"/>
      <c r="L82" s="119"/>
      <c r="M82" s="62"/>
      <c r="N82" s="62"/>
    </row>
    <row r="83" spans="2:14" ht="13.15" customHeight="1">
      <c r="B83" s="58"/>
      <c r="C83" s="74" t="s">
        <v>124</v>
      </c>
      <c r="D83" s="231"/>
      <c r="E83" s="133">
        <f>I110*E82</f>
        <v>68640</v>
      </c>
      <c r="F83" s="133">
        <f>E83/'Build-to-Lease OS Calculator'!$D$20</f>
        <v>6864</v>
      </c>
      <c r="G83" s="131"/>
      <c r="H83" s="119">
        <v>0</v>
      </c>
      <c r="I83" s="119">
        <f>E83</f>
        <v>68640</v>
      </c>
      <c r="J83" s="131"/>
      <c r="K83" s="119"/>
      <c r="L83" s="119"/>
      <c r="M83" s="62"/>
      <c r="N83" s="62"/>
    </row>
    <row r="84" spans="2:14" ht="13.15" customHeight="1">
      <c r="B84" s="58"/>
      <c r="C84" s="74" t="s">
        <v>30</v>
      </c>
      <c r="D84" s="232" t="s">
        <v>274</v>
      </c>
      <c r="E84" s="133">
        <f>-E82*(1-'Build-to-Lease OS Calculator'!E57)</f>
        <v>-4160.0000000000036</v>
      </c>
      <c r="F84" s="133">
        <f>E84/'Build-to-Lease OS Calculator'!$D$20</f>
        <v>-416.00000000000034</v>
      </c>
      <c r="G84" s="131"/>
      <c r="H84" s="119">
        <v>0</v>
      </c>
      <c r="I84" s="119">
        <f>E84</f>
        <v>-4160.0000000000036</v>
      </c>
      <c r="J84" s="134"/>
      <c r="K84" s="135">
        <f>-E84/$E$82</f>
        <v>2.0000000000000018E-2</v>
      </c>
      <c r="L84" s="135"/>
      <c r="M84" s="62"/>
      <c r="N84" s="62"/>
    </row>
    <row r="85" spans="2:14" ht="13.15" customHeight="1">
      <c r="B85" s="58"/>
      <c r="C85" s="108" t="s">
        <v>158</v>
      </c>
      <c r="D85" s="230"/>
      <c r="E85" s="136">
        <f>SUM(E82:E84)</f>
        <v>272480</v>
      </c>
      <c r="F85" s="136">
        <f>SUM(F82:F84)</f>
        <v>27248</v>
      </c>
      <c r="G85" s="137"/>
      <c r="H85" s="120">
        <f>SUM(H82:H84)</f>
        <v>208000</v>
      </c>
      <c r="I85" s="120">
        <f>SUM(I82:I84)</f>
        <v>64480</v>
      </c>
      <c r="J85" s="131"/>
      <c r="K85" s="138"/>
      <c r="L85" s="138"/>
      <c r="M85" s="57"/>
      <c r="N85" s="62"/>
    </row>
    <row r="86" spans="2:14" ht="13.15" customHeight="1">
      <c r="B86" s="58"/>
      <c r="C86" s="74"/>
      <c r="D86" s="231"/>
      <c r="E86" s="133"/>
      <c r="F86" s="133"/>
      <c r="G86" s="131"/>
      <c r="H86" s="119"/>
      <c r="I86" s="119"/>
      <c r="J86" s="131"/>
      <c r="K86" s="119"/>
      <c r="L86" s="119"/>
      <c r="M86" s="62"/>
      <c r="N86" s="62"/>
    </row>
    <row r="87" spans="2:14" ht="13.15" customHeight="1">
      <c r="B87" s="58"/>
      <c r="C87" s="74" t="s">
        <v>169</v>
      </c>
      <c r="D87" s="231" t="s">
        <v>273</v>
      </c>
      <c r="E87" s="133">
        <f>-SUMIF('Build-to-Lease OS Calculator'!F62:F75,"CHP",'Build-to-Lease OS Calculator'!E62:E75)*'Build-to-Lease OS Calculator'!$E$58</f>
        <v>-5450</v>
      </c>
      <c r="F87" s="133">
        <f>+E87/'Build-to-Lease OS Calculator'!$D$20</f>
        <v>-545</v>
      </c>
      <c r="G87" s="131"/>
      <c r="H87" s="119">
        <v>0</v>
      </c>
      <c r="I87" s="119">
        <f>E87</f>
        <v>-5450</v>
      </c>
      <c r="J87" s="131"/>
      <c r="K87" s="135">
        <f>-E87/$E$82</f>
        <v>2.6201923076923078E-2</v>
      </c>
      <c r="L87" s="135"/>
      <c r="M87" s="62"/>
      <c r="N87" s="62"/>
    </row>
    <row r="88" spans="2:14" ht="13.15" customHeight="1">
      <c r="B88" s="58"/>
      <c r="C88" s="74" t="s">
        <v>160</v>
      </c>
      <c r="D88" s="231" t="s">
        <v>273</v>
      </c>
      <c r="E88" s="133">
        <f>-SUMIF('Build-to-Lease OS Calculator'!F62:F75,"CHP",'Build-to-Lease OS Calculator'!E62:E75)*'Build-to-Lease OS Calculator'!$E$59</f>
        <v>-2725</v>
      </c>
      <c r="F88" s="133">
        <f>E88/'Build-to-Lease OS Calculator'!$D$20</f>
        <v>-272.5</v>
      </c>
      <c r="G88" s="131"/>
      <c r="H88" s="119">
        <v>0</v>
      </c>
      <c r="I88" s="119">
        <f>E88</f>
        <v>-2725</v>
      </c>
      <c r="J88" s="131"/>
      <c r="K88" s="135">
        <f>-E88/$E$82</f>
        <v>1.3100961538461539E-2</v>
      </c>
      <c r="L88" s="135"/>
      <c r="M88" s="62"/>
      <c r="N88" s="62"/>
    </row>
    <row r="89" spans="2:14" ht="13.15" customHeight="1">
      <c r="B89" s="58"/>
      <c r="C89" s="74"/>
      <c r="D89" s="231"/>
      <c r="E89" s="133"/>
      <c r="F89" s="133"/>
      <c r="G89" s="131"/>
      <c r="H89" s="119"/>
      <c r="I89" s="119"/>
      <c r="J89" s="131"/>
      <c r="K89" s="135"/>
      <c r="L89" s="135"/>
      <c r="M89" s="62"/>
      <c r="N89" s="62"/>
    </row>
    <row r="90" spans="2:14" ht="13.15" customHeight="1">
      <c r="B90" s="58"/>
      <c r="C90" s="71" t="s">
        <v>113</v>
      </c>
      <c r="D90" s="230"/>
      <c r="E90" s="139"/>
      <c r="F90" s="139"/>
      <c r="G90" s="131"/>
      <c r="H90" s="119"/>
      <c r="I90" s="119"/>
      <c r="J90" s="131"/>
      <c r="K90" s="119"/>
      <c r="L90" s="119"/>
      <c r="M90" s="62"/>
      <c r="N90" s="62"/>
    </row>
    <row r="91" spans="2:14" ht="13.15" customHeight="1">
      <c r="B91" s="58"/>
      <c r="C91" s="74" t="s">
        <v>17</v>
      </c>
      <c r="D91" s="231" t="s">
        <v>17</v>
      </c>
      <c r="E91" s="133">
        <f>-'Build-to-Lease OS Calculator'!E62</f>
        <v>-25000</v>
      </c>
      <c r="F91" s="133">
        <f>+E91/'Build-to-Lease OS Calculator'!$D$20</f>
        <v>-2500</v>
      </c>
      <c r="G91" s="131"/>
      <c r="H91" s="119">
        <f>IF('Build-to-Lease OS Calculator'!F62="Owner",E91,0)</f>
        <v>-25000</v>
      </c>
      <c r="I91" s="119">
        <f>IF('Build-to-Lease OS Calculator'!F62="CHP",E91,0)</f>
        <v>0</v>
      </c>
      <c r="J91" s="131"/>
      <c r="K91" s="135">
        <f t="shared" ref="K91:K104" si="2">-E91/$E$82</f>
        <v>0.1201923076923077</v>
      </c>
      <c r="L91" s="135"/>
      <c r="M91" s="62"/>
      <c r="N91" s="62"/>
    </row>
    <row r="92" spans="2:14" ht="13.15" customHeight="1">
      <c r="B92" s="58"/>
      <c r="C92" s="74" t="s">
        <v>19</v>
      </c>
      <c r="D92" s="231" t="s">
        <v>34</v>
      </c>
      <c r="E92" s="133">
        <f>-'Build-to-Lease OS Calculator'!E63</f>
        <v>-12500</v>
      </c>
      <c r="F92" s="133">
        <f>+E92/'Build-to-Lease OS Calculator'!$D$20</f>
        <v>-1250</v>
      </c>
      <c r="G92" s="131"/>
      <c r="H92" s="119">
        <f>IF('Build-to-Lease OS Calculator'!F63="Owner",E92,0)</f>
        <v>-12500</v>
      </c>
      <c r="I92" s="119">
        <f>IF('Build-to-Lease OS Calculator'!F63="CHP",E92,0)</f>
        <v>0</v>
      </c>
      <c r="J92" s="131"/>
      <c r="K92" s="135">
        <f t="shared" si="2"/>
        <v>6.0096153846153848E-2</v>
      </c>
      <c r="L92" s="135"/>
      <c r="M92" s="62"/>
      <c r="N92" s="62"/>
    </row>
    <row r="93" spans="2:14" ht="13.15" customHeight="1">
      <c r="B93" s="58"/>
      <c r="C93" s="74" t="s">
        <v>20</v>
      </c>
      <c r="D93" s="231" t="s">
        <v>34</v>
      </c>
      <c r="E93" s="133">
        <f>-'Build-to-Lease OS Calculator'!E64</f>
        <v>-2500</v>
      </c>
      <c r="F93" s="133">
        <f>+E93/'Build-to-Lease OS Calculator'!$D$20</f>
        <v>-250</v>
      </c>
      <c r="G93" s="131"/>
      <c r="H93" s="119">
        <f>IF('Build-to-Lease OS Calculator'!F64="Owner",E93,0)</f>
        <v>0</v>
      </c>
      <c r="I93" s="119">
        <f>IF('Build-to-Lease OS Calculator'!F64="CHP",E93,0)</f>
        <v>-2500</v>
      </c>
      <c r="J93" s="131"/>
      <c r="K93" s="135">
        <f t="shared" si="2"/>
        <v>1.201923076923077E-2</v>
      </c>
      <c r="L93" s="135"/>
      <c r="M93" s="62"/>
      <c r="N93" s="62"/>
    </row>
    <row r="94" spans="2:14" ht="13.15" customHeight="1">
      <c r="B94" s="58"/>
      <c r="C94" s="74" t="s">
        <v>21</v>
      </c>
      <c r="D94" s="231" t="s">
        <v>262</v>
      </c>
      <c r="E94" s="133">
        <f>-'Build-to-Lease OS Calculator'!E65</f>
        <v>-1000</v>
      </c>
      <c r="F94" s="133">
        <f>+E94/'Build-to-Lease OS Calculator'!$D$20</f>
        <v>-100</v>
      </c>
      <c r="G94" s="131"/>
      <c r="H94" s="119">
        <f>IF('Build-to-Lease OS Calculator'!F65="Owner",E94,0)</f>
        <v>0</v>
      </c>
      <c r="I94" s="119">
        <f>IF('Build-to-Lease OS Calculator'!F65="CHP",E94,0)</f>
        <v>-1000</v>
      </c>
      <c r="J94" s="131"/>
      <c r="K94" s="135">
        <f t="shared" si="2"/>
        <v>4.807692307692308E-3</v>
      </c>
      <c r="L94" s="135"/>
      <c r="M94" s="62"/>
      <c r="N94" s="62"/>
    </row>
    <row r="95" spans="2:14" ht="13.15" customHeight="1">
      <c r="B95" s="58"/>
      <c r="C95" s="74" t="s">
        <v>22</v>
      </c>
      <c r="D95" s="231" t="s">
        <v>262</v>
      </c>
      <c r="E95" s="133">
        <f>-'Build-to-Lease OS Calculator'!E66</f>
        <v>-500</v>
      </c>
      <c r="F95" s="133">
        <f>+E95/'Build-to-Lease OS Calculator'!$D$20</f>
        <v>-50</v>
      </c>
      <c r="G95" s="131"/>
      <c r="H95" s="119">
        <f>IF('Build-to-Lease OS Calculator'!F66="Owner",E95,0)</f>
        <v>0</v>
      </c>
      <c r="I95" s="119">
        <f>IF('Build-to-Lease OS Calculator'!F66="CHP",E95,0)</f>
        <v>-500</v>
      </c>
      <c r="J95" s="131"/>
      <c r="K95" s="135">
        <f t="shared" si="2"/>
        <v>2.403846153846154E-3</v>
      </c>
      <c r="L95" s="135"/>
      <c r="M95" s="62"/>
      <c r="N95" s="62"/>
    </row>
    <row r="96" spans="2:14" ht="13.15" customHeight="1">
      <c r="B96" s="58"/>
      <c r="C96" s="74" t="s">
        <v>23</v>
      </c>
      <c r="D96" s="231" t="s">
        <v>260</v>
      </c>
      <c r="E96" s="133">
        <f>-'Build-to-Lease OS Calculator'!E67</f>
        <v>-2000</v>
      </c>
      <c r="F96" s="133">
        <f>+E96/'Build-to-Lease OS Calculator'!$D$20</f>
        <v>-200</v>
      </c>
      <c r="G96" s="131"/>
      <c r="H96" s="119">
        <f>IF('Build-to-Lease OS Calculator'!F67="Owner",E96,0)</f>
        <v>-2000</v>
      </c>
      <c r="I96" s="119">
        <f>IF('Build-to-Lease OS Calculator'!F67="CHP",E96,0)</f>
        <v>0</v>
      </c>
      <c r="J96" s="131"/>
      <c r="K96" s="135">
        <f t="shared" si="2"/>
        <v>9.6153846153846159E-3</v>
      </c>
      <c r="L96" s="135"/>
      <c r="M96" s="62"/>
      <c r="N96" s="62"/>
    </row>
    <row r="97" spans="2:14">
      <c r="B97" s="58"/>
      <c r="C97" s="74" t="s">
        <v>117</v>
      </c>
      <c r="D97" s="231" t="s">
        <v>260</v>
      </c>
      <c r="E97" s="133">
        <f>-'Build-to-Lease OS Calculator'!E68</f>
        <v>-4000</v>
      </c>
      <c r="F97" s="133">
        <f>+E97/'Build-to-Lease OS Calculator'!$D$20</f>
        <v>-400</v>
      </c>
      <c r="G97" s="131"/>
      <c r="H97" s="119">
        <f>IF('Build-to-Lease OS Calculator'!F68="Owner",E97,0)</f>
        <v>0</v>
      </c>
      <c r="I97" s="119">
        <f>IF('Build-to-Lease OS Calculator'!F68="CHP",E97,0)</f>
        <v>-4000</v>
      </c>
      <c r="J97" s="131"/>
      <c r="K97" s="135">
        <f t="shared" si="2"/>
        <v>1.9230769230769232E-2</v>
      </c>
      <c r="L97" s="135"/>
      <c r="M97" s="62"/>
      <c r="N97" s="62"/>
    </row>
    <row r="98" spans="2:14">
      <c r="B98" s="58"/>
      <c r="C98" s="74" t="s">
        <v>24</v>
      </c>
      <c r="D98" s="231" t="s">
        <v>260</v>
      </c>
      <c r="E98" s="133">
        <f>-'Build-to-Lease OS Calculator'!E69</f>
        <v>-15000</v>
      </c>
      <c r="F98" s="133">
        <f>+E98/'Build-to-Lease OS Calculator'!$D$20</f>
        <v>-1500</v>
      </c>
      <c r="G98" s="131"/>
      <c r="H98" s="119">
        <f>IF('Build-to-Lease OS Calculator'!F69="Owner",E98,0)</f>
        <v>-15000</v>
      </c>
      <c r="I98" s="119">
        <f>IF('Build-to-Lease OS Calculator'!F69="CHP",E98,0)</f>
        <v>0</v>
      </c>
      <c r="J98" s="131"/>
      <c r="K98" s="135">
        <f t="shared" si="2"/>
        <v>7.2115384615384609E-2</v>
      </c>
      <c r="L98" s="135"/>
      <c r="M98" s="62"/>
      <c r="N98" s="62"/>
    </row>
    <row r="99" spans="2:14">
      <c r="B99" s="58"/>
      <c r="C99" s="74" t="s">
        <v>25</v>
      </c>
      <c r="D99" s="231" t="s">
        <v>260</v>
      </c>
      <c r="E99" s="133">
        <f>-'Build-to-Lease OS Calculator'!E70</f>
        <v>-15000</v>
      </c>
      <c r="F99" s="133">
        <f>+E99/'Build-to-Lease OS Calculator'!$D$20</f>
        <v>-1500</v>
      </c>
      <c r="G99" s="131"/>
      <c r="H99" s="119">
        <f>IF('Build-to-Lease OS Calculator'!F70="Owner",E99,0)</f>
        <v>0</v>
      </c>
      <c r="I99" s="119">
        <f>IF('Build-to-Lease OS Calculator'!F70="CHP",E99,0)</f>
        <v>-15000</v>
      </c>
      <c r="J99" s="131"/>
      <c r="K99" s="135">
        <f t="shared" si="2"/>
        <v>7.2115384615384609E-2</v>
      </c>
      <c r="L99" s="135"/>
      <c r="M99" s="62"/>
      <c r="N99" s="62"/>
    </row>
    <row r="100" spans="2:14">
      <c r="B100" s="58"/>
      <c r="C100" s="74" t="s">
        <v>26</v>
      </c>
      <c r="D100" s="231" t="s">
        <v>260</v>
      </c>
      <c r="E100" s="133">
        <f>-'Build-to-Lease OS Calculator'!E71</f>
        <v>-3500</v>
      </c>
      <c r="F100" s="133">
        <f>+E100/'Build-to-Lease OS Calculator'!$D$20</f>
        <v>-350</v>
      </c>
      <c r="G100" s="131"/>
      <c r="H100" s="119">
        <f>IF('Build-to-Lease OS Calculator'!F71="Owner",E100,0)</f>
        <v>0</v>
      </c>
      <c r="I100" s="119">
        <f>IF('Build-to-Lease OS Calculator'!F71="CHP",E100,0)</f>
        <v>-3500</v>
      </c>
      <c r="J100" s="131"/>
      <c r="K100" s="135">
        <f t="shared" si="2"/>
        <v>1.6826923076923076E-2</v>
      </c>
      <c r="L100" s="135"/>
      <c r="M100" s="62"/>
      <c r="N100" s="62"/>
    </row>
    <row r="101" spans="2:14">
      <c r="B101" s="58"/>
      <c r="C101" s="74" t="s">
        <v>27</v>
      </c>
      <c r="D101" s="231" t="s">
        <v>27</v>
      </c>
      <c r="E101" s="133">
        <f>-'Build-to-Lease OS Calculator'!E72</f>
        <v>-28000</v>
      </c>
      <c r="F101" s="133">
        <f>+E101/'Build-to-Lease OS Calculator'!$D$20</f>
        <v>-2800</v>
      </c>
      <c r="G101" s="131"/>
      <c r="H101" s="119">
        <f>IF('Build-to-Lease OS Calculator'!F72="Owner",E101,0)</f>
        <v>0</v>
      </c>
      <c r="I101" s="119">
        <f>IF('Build-to-Lease OS Calculator'!F72="CHP",E101,0)</f>
        <v>-28000</v>
      </c>
      <c r="J101" s="131"/>
      <c r="K101" s="135">
        <f t="shared" si="2"/>
        <v>0.13461538461538461</v>
      </c>
      <c r="L101" s="135"/>
      <c r="M101" s="62"/>
      <c r="N101" s="62"/>
    </row>
    <row r="102" spans="2:14">
      <c r="B102" s="58"/>
      <c r="C102" s="74" t="s">
        <v>119</v>
      </c>
      <c r="D102" s="231" t="s">
        <v>119</v>
      </c>
      <c r="E102" s="133">
        <f>-'Build-to-Lease OS Calculator'!E73</f>
        <v>-10000</v>
      </c>
      <c r="F102" s="133">
        <f>+E102/'Build-to-Lease OS Calculator'!$D$20</f>
        <v>-1000</v>
      </c>
      <c r="G102" s="131"/>
      <c r="H102" s="119">
        <f>IF('Build-to-Lease OS Calculator'!F73="Owner",E102,0)</f>
        <v>-10000</v>
      </c>
      <c r="I102" s="119">
        <f>IF('Build-to-Lease OS Calculator'!F73="CHP",E102,0)</f>
        <v>0</v>
      </c>
      <c r="J102" s="131"/>
      <c r="K102" s="135">
        <f t="shared" si="2"/>
        <v>4.807692307692308E-2</v>
      </c>
      <c r="L102" s="135"/>
      <c r="M102" s="62"/>
      <c r="N102" s="62"/>
    </row>
    <row r="103" spans="2:14">
      <c r="B103" s="58"/>
      <c r="C103" s="74" t="s">
        <v>13</v>
      </c>
      <c r="D103" s="231" t="s">
        <v>263</v>
      </c>
      <c r="E103" s="133">
        <f>-'Build-to-Lease OS Calculator'!E74</f>
        <v>0</v>
      </c>
      <c r="F103" s="133">
        <f>+E103/'Build-to-Lease OS Calculator'!$D$20</f>
        <v>0</v>
      </c>
      <c r="G103" s="131"/>
      <c r="H103" s="119">
        <f>IF('Build-to-Lease OS Calculator'!F74="Owner",E103,0)</f>
        <v>0</v>
      </c>
      <c r="I103" s="119">
        <f>IF('Build-to-Lease OS Calculator'!F74="CHP",E103,0)</f>
        <v>0</v>
      </c>
      <c r="J103" s="131"/>
      <c r="K103" s="135">
        <f t="shared" si="2"/>
        <v>0</v>
      </c>
      <c r="L103" s="135"/>
      <c r="M103" s="62"/>
      <c r="N103" s="62"/>
    </row>
    <row r="104" spans="2:14">
      <c r="B104" s="58"/>
      <c r="C104" s="74" t="s">
        <v>13</v>
      </c>
      <c r="D104" s="232" t="s">
        <v>263</v>
      </c>
      <c r="E104" s="133">
        <f>-'Build-to-Lease OS Calculator'!E75</f>
        <v>0</v>
      </c>
      <c r="F104" s="133">
        <f>+E104/'Build-to-Lease OS Calculator'!$D$20</f>
        <v>0</v>
      </c>
      <c r="G104" s="131"/>
      <c r="H104" s="119">
        <f>IF('Build-to-Lease OS Calculator'!F75="Owner",E104,0)</f>
        <v>0</v>
      </c>
      <c r="I104" s="119">
        <f>IF('Build-to-Lease OS Calculator'!F75="CHP",E104,0)</f>
        <v>0</v>
      </c>
      <c r="J104" s="134"/>
      <c r="K104" s="135">
        <f t="shared" si="2"/>
        <v>0</v>
      </c>
      <c r="L104" s="135"/>
      <c r="M104" s="62"/>
      <c r="N104" s="62"/>
    </row>
    <row r="105" spans="2:14">
      <c r="B105" s="58"/>
      <c r="C105" s="108" t="s">
        <v>123</v>
      </c>
      <c r="E105" s="140">
        <f>SUM(E91:E104)</f>
        <v>-119000</v>
      </c>
      <c r="F105" s="140">
        <f>SUM(F91:F104)</f>
        <v>-11900</v>
      </c>
      <c r="G105" s="137"/>
      <c r="H105" s="138">
        <f>SUM(H91:H104)</f>
        <v>-64500</v>
      </c>
      <c r="I105" s="138">
        <f>SUM(I91:I104)</f>
        <v>-54500</v>
      </c>
      <c r="J105" s="131"/>
      <c r="K105" s="141">
        <f>SUM(K84,K87:K88,K91:K104)</f>
        <v>0.63141826923076927</v>
      </c>
      <c r="L105" s="141"/>
      <c r="M105" s="57"/>
      <c r="N105" s="62"/>
    </row>
    <row r="106" spans="2:14" ht="14.65" thickBot="1">
      <c r="B106" s="58"/>
      <c r="C106" s="142"/>
      <c r="D106" s="143"/>
      <c r="E106" s="144"/>
      <c r="F106" s="144"/>
      <c r="G106" s="145"/>
      <c r="H106" s="143"/>
      <c r="I106" s="146"/>
      <c r="J106" s="145"/>
      <c r="K106" s="143"/>
      <c r="L106" s="143"/>
      <c r="M106" s="147"/>
      <c r="N106" s="62"/>
    </row>
    <row r="107" spans="2:14">
      <c r="B107" s="58"/>
      <c r="C107" s="71" t="s">
        <v>121</v>
      </c>
      <c r="E107" s="148">
        <f>SUM(E85,E87:E88,E105)</f>
        <v>145305</v>
      </c>
      <c r="F107" s="148">
        <f>SUM(F85,F87:F88,F105)</f>
        <v>14530.5</v>
      </c>
      <c r="G107" s="131"/>
      <c r="H107" s="148">
        <f>SUM(H85,H87:H88,H105)</f>
        <v>143500</v>
      </c>
      <c r="I107" s="148">
        <f>SUM(I85,I87:I88,I105)</f>
        <v>1805</v>
      </c>
      <c r="J107" s="149"/>
      <c r="M107" s="62"/>
      <c r="N107" s="62"/>
    </row>
    <row r="108" spans="2:14">
      <c r="B108" s="58"/>
      <c r="C108" s="74"/>
      <c r="E108" s="119"/>
      <c r="G108" s="119"/>
      <c r="H108" s="119"/>
      <c r="I108" s="119"/>
      <c r="J108" s="119"/>
      <c r="K108" s="119"/>
      <c r="L108" s="119"/>
      <c r="M108" s="62"/>
      <c r="N108" s="62"/>
    </row>
    <row r="109" spans="2:14">
      <c r="B109" s="58"/>
      <c r="C109" s="74" t="s">
        <v>168</v>
      </c>
      <c r="E109" s="119"/>
      <c r="I109" s="150">
        <f>-SUM(I84,I87:I88,I91:I104)</f>
        <v>66835</v>
      </c>
      <c r="J109" s="119"/>
      <c r="K109" s="119"/>
      <c r="L109" s="119"/>
      <c r="M109" s="62"/>
      <c r="N109" s="62"/>
    </row>
    <row r="110" spans="2:14">
      <c r="B110" s="58"/>
      <c r="C110" s="104" t="s">
        <v>32</v>
      </c>
      <c r="D110" s="151"/>
      <c r="E110" s="124"/>
      <c r="F110" s="151"/>
      <c r="G110" s="151"/>
      <c r="H110" s="151"/>
      <c r="I110" s="152">
        <f>ROUNDUP(I109/H82,2)</f>
        <v>0.33</v>
      </c>
      <c r="J110" s="153"/>
      <c r="K110" s="154"/>
      <c r="L110" s="153"/>
      <c r="M110" s="155"/>
      <c r="N110" s="62"/>
    </row>
    <row r="111" spans="2:14">
      <c r="B111" s="156"/>
      <c r="C111" s="157"/>
      <c r="D111" s="151"/>
      <c r="E111" s="151"/>
      <c r="F111" s="151"/>
      <c r="G111" s="151"/>
      <c r="H111" s="151"/>
      <c r="I111" s="151"/>
      <c r="J111" s="151"/>
      <c r="K111" s="151"/>
      <c r="L111" s="151"/>
      <c r="M111" s="151"/>
      <c r="N111" s="155"/>
    </row>
    <row r="112" spans="2:14">
      <c r="B112" s="52" t="str">
        <f>Introduction!$D$2</f>
        <v>Version 4.0</v>
      </c>
    </row>
    <row r="113"/>
  </sheetData>
  <sheetProtection algorithmName="SHA-512" hashValue="ZGN0BtM/APKwHMEAbzPc168Y3HOQ7KxUCrUSzo/Ktt9TOdFTMU9GasJGyeoVKEH85wIzTsC5pP+GiMyyUs1C3A==" saltValue="18DBvGq/a0sb46TOJdrs5Q==" spinCount="100000" sheet="1" objects="1" scenarios="1"/>
  <mergeCells count="54">
    <mergeCell ref="H73:L73"/>
    <mergeCell ref="H74:L74"/>
    <mergeCell ref="H75:L75"/>
    <mergeCell ref="C2:M2"/>
    <mergeCell ref="C3:M3"/>
    <mergeCell ref="H29:L29"/>
    <mergeCell ref="H30:L30"/>
    <mergeCell ref="H31:L31"/>
    <mergeCell ref="H72:L72"/>
    <mergeCell ref="H57:L57"/>
    <mergeCell ref="H58:L58"/>
    <mergeCell ref="H59:L59"/>
    <mergeCell ref="H51:L51"/>
    <mergeCell ref="H52:L52"/>
    <mergeCell ref="H53:L53"/>
    <mergeCell ref="H54:L54"/>
    <mergeCell ref="H55:L55"/>
    <mergeCell ref="H67:L67"/>
    <mergeCell ref="H68:L68"/>
    <mergeCell ref="H69:L69"/>
    <mergeCell ref="H70:L70"/>
    <mergeCell ref="H71:L71"/>
    <mergeCell ref="H62:L62"/>
    <mergeCell ref="H63:L63"/>
    <mergeCell ref="H64:L64"/>
    <mergeCell ref="H65:L65"/>
    <mergeCell ref="H66:L66"/>
    <mergeCell ref="H50:L50"/>
    <mergeCell ref="H14:L14"/>
    <mergeCell ref="H15:L15"/>
    <mergeCell ref="H16:L16"/>
    <mergeCell ref="H17:L17"/>
    <mergeCell ref="H18:L18"/>
    <mergeCell ref="H19:L19"/>
    <mergeCell ref="H21:L21"/>
    <mergeCell ref="H22:L22"/>
    <mergeCell ref="H23:L23"/>
    <mergeCell ref="H24:L24"/>
    <mergeCell ref="H32:L32"/>
    <mergeCell ref="H33:L33"/>
    <mergeCell ref="H34:L34"/>
    <mergeCell ref="H35:L35"/>
    <mergeCell ref="H36:L36"/>
    <mergeCell ref="H46:L46"/>
    <mergeCell ref="H47:L47"/>
    <mergeCell ref="M15:M19"/>
    <mergeCell ref="H13:L13"/>
    <mergeCell ref="H28:L28"/>
    <mergeCell ref="H42:L42"/>
    <mergeCell ref="H37:L37"/>
    <mergeCell ref="H38:L38"/>
    <mergeCell ref="H43:L43"/>
    <mergeCell ref="H44:L44"/>
    <mergeCell ref="H45:L45"/>
  </mergeCells>
  <dataValidations count="1">
    <dataValidation type="list" allowBlank="1" showInputMessage="1" showErrorMessage="1" sqref="F62:F75" xr:uid="{1109181C-D84D-4647-93FD-BA880917D575}">
      <formula1>"CHP, Owner"</formula1>
    </dataValidation>
  </dataValidations>
  <hyperlinks>
    <hyperlink ref="M65" r:id="rId1" display="https://www.tenancy.govt.nz/rent-bond-and-bills/water-and-wastewater-charges/" xr:uid="{90DF5A79-3DCF-4927-87AD-8A1D25CECED7}"/>
  </hyperlinks>
  <pageMargins left="0.23622047244094491" right="0.23622047244094491" top="0.74803149606299213" bottom="0.74803149606299213" header="0.31496062992125984" footer="0.31496062992125984"/>
  <pageSetup paperSize="9" scale="35" orientation="portrait" r:id="rId2"/>
  <headerFooter>
    <oddFooter>&amp;L&amp;9&amp;Z&amp;F&amp;R&amp;9Print at &amp;T on &amp;D&amp;C_x000D_&amp;1#&amp;"Calibri"&amp;10&amp;K000000 [UNCLASSIFIED]&amp;R&amp;9Print at &amp;T on &amp;D&amp;C</oddFooter>
  </headerFooter>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3A5D1-FF3D-4A69-8434-0ABB913706CB}">
  <sheetPr codeName="Sheet14">
    <tabColor rgb="FF003E52"/>
  </sheetPr>
  <dimension ref="A1:L134"/>
  <sheetViews>
    <sheetView showGridLines="0" zoomScale="80" zoomScaleNormal="80" workbookViewId="0"/>
  </sheetViews>
  <sheetFormatPr defaultColWidth="0" defaultRowHeight="14.25" zeroHeight="1"/>
  <cols>
    <col min="1" max="2" width="3.625" style="20" customWidth="1"/>
    <col min="3" max="3" width="47.875" style="20" customWidth="1"/>
    <col min="4" max="4" width="13.125" style="20" customWidth="1"/>
    <col min="5" max="5" width="3.5" style="20" customWidth="1"/>
    <col min="6" max="7" width="13.125" style="20" customWidth="1"/>
    <col min="8" max="9" width="3.625" style="20" customWidth="1"/>
    <col min="10" max="16384" width="9" style="20" hidden="1"/>
  </cols>
  <sheetData>
    <row r="1" spans="1:12" s="52" customFormat="1">
      <c r="A1" s="49"/>
      <c r="B1" s="49"/>
      <c r="C1" s="158"/>
      <c r="D1" s="49"/>
      <c r="E1" s="49"/>
      <c r="F1" s="49"/>
      <c r="G1" s="49"/>
      <c r="H1" s="51"/>
      <c r="I1" s="49"/>
      <c r="J1" s="49"/>
      <c r="K1" s="49"/>
      <c r="L1" s="49"/>
    </row>
    <row r="2" spans="1:12" s="52" customFormat="1" ht="18">
      <c r="A2" s="159"/>
      <c r="B2" s="49"/>
      <c r="C2" s="250" t="s">
        <v>1</v>
      </c>
      <c r="D2" s="250"/>
      <c r="E2" s="250"/>
      <c r="F2" s="250"/>
      <c r="G2" s="250"/>
      <c r="H2" s="51"/>
      <c r="I2" s="49"/>
      <c r="J2" s="49"/>
      <c r="K2" s="49"/>
      <c r="L2" s="49"/>
    </row>
    <row r="3" spans="1:12" s="52" customFormat="1" ht="18">
      <c r="A3" s="159"/>
      <c r="B3" s="49"/>
      <c r="C3" s="250" t="s">
        <v>125</v>
      </c>
      <c r="D3" s="250"/>
      <c r="E3" s="250"/>
      <c r="F3" s="250"/>
      <c r="G3" s="250"/>
      <c r="H3" s="51"/>
      <c r="I3" s="49"/>
      <c r="J3" s="49"/>
      <c r="K3" s="49"/>
      <c r="L3" s="49"/>
    </row>
    <row r="4" spans="1:12"/>
    <row r="5" spans="1:12"/>
    <row r="6" spans="1:12">
      <c r="B6" s="21"/>
      <c r="C6" s="22"/>
      <c r="D6" s="22"/>
      <c r="E6" s="22"/>
      <c r="F6" s="22"/>
      <c r="G6" s="22"/>
      <c r="H6" s="23"/>
    </row>
    <row r="7" spans="1:12">
      <c r="B7" s="24"/>
      <c r="C7" s="160" t="s">
        <v>35</v>
      </c>
      <c r="D7" s="161"/>
      <c r="E7" s="161"/>
      <c r="F7" s="161"/>
      <c r="G7" s="161"/>
      <c r="H7" s="162"/>
    </row>
    <row r="8" spans="1:12">
      <c r="B8" s="24"/>
      <c r="H8" s="26"/>
    </row>
    <row r="9" spans="1:12">
      <c r="B9" s="24"/>
      <c r="C9" s="2" t="s">
        <v>31</v>
      </c>
      <c r="D9" s="2"/>
      <c r="E9" s="2"/>
      <c r="F9" s="163" t="s">
        <v>126</v>
      </c>
      <c r="G9" s="164"/>
      <c r="H9" s="26"/>
    </row>
    <row r="10" spans="1:12">
      <c r="B10" s="24"/>
      <c r="H10" s="26"/>
    </row>
    <row r="11" spans="1:12">
      <c r="B11" s="24"/>
      <c r="C11" s="20" t="s">
        <v>36</v>
      </c>
      <c r="F11" s="79">
        <v>70000</v>
      </c>
      <c r="H11" s="26"/>
    </row>
    <row r="12" spans="1:12">
      <c r="B12" s="24"/>
      <c r="C12" s="20" t="s">
        <v>128</v>
      </c>
      <c r="D12" s="165">
        <v>0.16</v>
      </c>
      <c r="F12" s="79">
        <f>+F11*D12</f>
        <v>11200</v>
      </c>
      <c r="H12" s="26"/>
    </row>
    <row r="13" spans="1:12">
      <c r="B13" s="24"/>
      <c r="C13" s="20" t="s">
        <v>37</v>
      </c>
      <c r="D13" s="36"/>
      <c r="F13" s="166">
        <f>+F11+F12</f>
        <v>81200</v>
      </c>
      <c r="G13" s="167"/>
      <c r="H13" s="26"/>
    </row>
    <row r="14" spans="1:12">
      <c r="B14" s="24"/>
      <c r="C14" s="20" t="s">
        <v>127</v>
      </c>
      <c r="D14" s="168">
        <v>80</v>
      </c>
      <c r="F14" s="169">
        <f>1/D14</f>
        <v>1.2500000000000001E-2</v>
      </c>
      <c r="G14" s="169"/>
      <c r="H14" s="26"/>
    </row>
    <row r="15" spans="1:12">
      <c r="B15" s="24"/>
      <c r="C15" s="2" t="s">
        <v>38</v>
      </c>
      <c r="F15" s="170">
        <f>+F13*F14</f>
        <v>1015</v>
      </c>
      <c r="G15" s="171" t="s">
        <v>39</v>
      </c>
      <c r="H15" s="26"/>
    </row>
    <row r="16" spans="1:12">
      <c r="B16" s="24"/>
      <c r="C16" s="20" t="s">
        <v>40</v>
      </c>
      <c r="H16" s="26"/>
    </row>
    <row r="17" spans="2:8">
      <c r="B17" s="24"/>
      <c r="H17" s="26"/>
    </row>
    <row r="18" spans="2:8">
      <c r="B18" s="24"/>
      <c r="H18" s="26"/>
    </row>
    <row r="19" spans="2:8">
      <c r="B19" s="24"/>
      <c r="C19" s="2" t="s">
        <v>219</v>
      </c>
      <c r="G19" s="36"/>
      <c r="H19" s="26"/>
    </row>
    <row r="20" spans="2:8">
      <c r="B20" s="24"/>
      <c r="H20" s="26"/>
    </row>
    <row r="21" spans="2:8">
      <c r="B21" s="24"/>
      <c r="C21" s="172" t="s">
        <v>130</v>
      </c>
      <c r="F21" s="79">
        <v>100000</v>
      </c>
      <c r="H21" s="26"/>
    </row>
    <row r="22" spans="2:8">
      <c r="B22" s="24"/>
      <c r="C22" s="172" t="s">
        <v>129</v>
      </c>
      <c r="F22" s="79">
        <v>50000</v>
      </c>
      <c r="H22" s="26"/>
    </row>
    <row r="23" spans="2:8">
      <c r="B23" s="24"/>
      <c r="C23" s="172" t="s">
        <v>43</v>
      </c>
      <c r="F23" s="79">
        <v>15000</v>
      </c>
      <c r="H23" s="26"/>
    </row>
    <row r="24" spans="2:8">
      <c r="B24" s="24"/>
      <c r="C24" s="172" t="s">
        <v>47</v>
      </c>
      <c r="F24" s="79">
        <v>1500</v>
      </c>
      <c r="H24" s="26"/>
    </row>
    <row r="25" spans="2:8">
      <c r="B25" s="24"/>
      <c r="C25" s="172" t="s">
        <v>44</v>
      </c>
      <c r="F25" s="79">
        <v>10000</v>
      </c>
      <c r="H25" s="26"/>
    </row>
    <row r="26" spans="2:8">
      <c r="B26" s="24"/>
      <c r="C26" s="172" t="s">
        <v>46</v>
      </c>
      <c r="F26" s="79">
        <v>2000</v>
      </c>
      <c r="H26" s="26"/>
    </row>
    <row r="27" spans="2:8">
      <c r="B27" s="24"/>
      <c r="C27" s="172" t="s">
        <v>42</v>
      </c>
      <c r="F27" s="79">
        <v>5000</v>
      </c>
      <c r="H27" s="26"/>
    </row>
    <row r="28" spans="2:8">
      <c r="B28" s="24"/>
      <c r="C28" s="172" t="s">
        <v>41</v>
      </c>
      <c r="F28" s="79">
        <v>3000</v>
      </c>
      <c r="H28" s="26"/>
    </row>
    <row r="29" spans="2:8">
      <c r="B29" s="24"/>
      <c r="C29" s="172" t="s">
        <v>45</v>
      </c>
      <c r="F29" s="79">
        <v>500</v>
      </c>
      <c r="H29" s="26"/>
    </row>
    <row r="30" spans="2:8">
      <c r="B30" s="24"/>
      <c r="C30" s="172" t="s">
        <v>34</v>
      </c>
      <c r="F30" s="79">
        <v>10000</v>
      </c>
      <c r="H30" s="26"/>
    </row>
    <row r="31" spans="2:8">
      <c r="B31" s="24"/>
      <c r="C31" s="172" t="s">
        <v>48</v>
      </c>
      <c r="F31" s="79">
        <v>5000</v>
      </c>
      <c r="H31" s="26"/>
    </row>
    <row r="32" spans="2:8">
      <c r="B32" s="24"/>
      <c r="C32" s="172" t="s">
        <v>49</v>
      </c>
      <c r="F32" s="79">
        <v>10000</v>
      </c>
      <c r="H32" s="26"/>
    </row>
    <row r="33" spans="2:8">
      <c r="B33" s="24"/>
      <c r="C33" s="172" t="s">
        <v>50</v>
      </c>
      <c r="F33" s="79">
        <v>5000</v>
      </c>
      <c r="H33" s="26"/>
    </row>
    <row r="34" spans="2:8">
      <c r="B34" s="24"/>
      <c r="C34" s="172" t="s">
        <v>51</v>
      </c>
      <c r="F34" s="79">
        <v>50000</v>
      </c>
      <c r="H34" s="26"/>
    </row>
    <row r="35" spans="2:8">
      <c r="B35" s="24"/>
      <c r="C35" s="2" t="s">
        <v>52</v>
      </c>
      <c r="F35" s="170">
        <f>SUM(F21:F34)</f>
        <v>267000</v>
      </c>
      <c r="H35" s="26"/>
    </row>
    <row r="36" spans="2:8">
      <c r="B36" s="24"/>
      <c r="H36" s="26"/>
    </row>
    <row r="37" spans="2:8">
      <c r="B37" s="24"/>
      <c r="C37" s="20" t="s">
        <v>53</v>
      </c>
      <c r="F37" s="79">
        <v>140</v>
      </c>
      <c r="H37" s="26"/>
    </row>
    <row r="38" spans="2:8">
      <c r="B38" s="24"/>
      <c r="H38" s="26"/>
    </row>
    <row r="39" spans="2:8">
      <c r="B39" s="24"/>
      <c r="C39" s="20" t="s">
        <v>192</v>
      </c>
      <c r="F39" s="173">
        <f>+F35/F37</f>
        <v>1907.1428571428571</v>
      </c>
      <c r="G39" s="171" t="s">
        <v>54</v>
      </c>
      <c r="H39" s="26"/>
    </row>
    <row r="40" spans="2:8">
      <c r="B40" s="24"/>
      <c r="H40" s="26"/>
    </row>
    <row r="41" spans="2:8" ht="14.65" thickBot="1">
      <c r="B41" s="24"/>
      <c r="C41" s="2" t="s">
        <v>55</v>
      </c>
      <c r="F41" s="174">
        <f>+F15+F39</f>
        <v>2922.1428571428569</v>
      </c>
      <c r="G41" s="171" t="s">
        <v>56</v>
      </c>
      <c r="H41" s="26"/>
    </row>
    <row r="42" spans="2:8" ht="14.65" thickTop="1">
      <c r="B42" s="43"/>
      <c r="C42" s="44"/>
      <c r="D42" s="44"/>
      <c r="E42" s="44"/>
      <c r="F42" s="44"/>
      <c r="G42" s="44"/>
      <c r="H42" s="45"/>
    </row>
    <row r="43" spans="2:8"/>
    <row r="44" spans="2:8"/>
    <row r="47" spans="2:8"/>
    <row r="48" spans="2:8"/>
    <row r="109"/>
    <row r="110"/>
    <row r="111"/>
    <row r="112"/>
    <row r="124"/>
    <row r="125"/>
    <row r="126" ht="0.95" hidden="1" customHeight="1"/>
    <row r="127"/>
    <row r="128"/>
    <row r="129"/>
    <row r="130"/>
    <row r="131"/>
    <row r="132"/>
    <row r="133"/>
    <row r="134"/>
  </sheetData>
  <sheetProtection algorithmName="SHA-512" hashValue="hXIxqaToAPxdepc5dMeYl1On5LC+h4l00y5m4JxhHO1Y/zNRat9UnpusOGo0kfoQbRtdy+2dYbb8u7IKCoeGmw==" saltValue="hRZqgg82knNwEjO9n9sA5w==" spinCount="100000" sheet="1" objects="1" scenarios="1"/>
  <mergeCells count="2">
    <mergeCell ref="C2:G2"/>
    <mergeCell ref="C3:G3"/>
  </mergeCells>
  <pageMargins left="0.7" right="0.7" top="0.75" bottom="0.75" header="0.3" footer="0.3"/>
  <pageSetup orientation="portrait" r:id="rId1"/>
  <headerFooter>
    <oddFooter>&amp;C_x000D_&amp;1#&amp;"Calibri"&amp;10&amp;K000000 [UNCLASSIFIED]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4371A-A8C0-4666-A0D4-37A8FD2EC56F}">
  <sheetPr>
    <tabColor theme="1"/>
  </sheetPr>
  <dimension ref="B1:Q30"/>
  <sheetViews>
    <sheetView zoomScale="90" zoomScaleNormal="90" workbookViewId="0">
      <selection activeCell="B21" sqref="B21"/>
    </sheetView>
  </sheetViews>
  <sheetFormatPr defaultColWidth="8.75" defaultRowHeight="13.5"/>
  <cols>
    <col min="1" max="1" width="8.75" style="198"/>
    <col min="2" max="2" width="34.5" style="198" customWidth="1"/>
    <col min="3" max="3" width="12" style="198" customWidth="1"/>
    <col min="4" max="4" width="12.375" style="198" customWidth="1"/>
    <col min="5" max="5" width="21.75" style="198" customWidth="1"/>
    <col min="6" max="6" width="6.5" style="198" customWidth="1"/>
    <col min="7" max="7" width="8.75" style="198"/>
    <col min="8" max="8" width="6" style="198" customWidth="1"/>
    <col min="9" max="9" width="6.75" style="198" customWidth="1"/>
    <col min="10" max="10" width="15.5" style="198" customWidth="1"/>
    <col min="11" max="12" width="8.75" style="198"/>
    <col min="13" max="13" width="10.75" style="198" bestFit="1" customWidth="1"/>
    <col min="14" max="14" width="11.25" style="198" customWidth="1"/>
    <col min="15" max="15" width="10.5" style="198" customWidth="1"/>
    <col min="16" max="16" width="10" style="198" customWidth="1"/>
    <col min="17" max="17" width="13.625" style="198" customWidth="1"/>
    <col min="18" max="16384" width="8.75" style="198"/>
  </cols>
  <sheetData>
    <row r="1" spans="2:17">
      <c r="B1" s="197" t="s">
        <v>224</v>
      </c>
      <c r="C1" s="197"/>
      <c r="D1" s="197"/>
    </row>
    <row r="2" spans="2:17">
      <c r="B2" s="199" t="s">
        <v>225</v>
      </c>
    </row>
    <row r="3" spans="2:17" ht="14.25">
      <c r="K3" s="200" t="s">
        <v>226</v>
      </c>
      <c r="L3" s="201"/>
      <c r="M3" s="201"/>
      <c r="N3" s="201"/>
      <c r="O3" s="201"/>
      <c r="P3" s="201"/>
      <c r="Q3" s="201"/>
    </row>
    <row r="4" spans="2:17" ht="27">
      <c r="B4" s="202" t="s">
        <v>227</v>
      </c>
      <c r="C4" s="203" t="str">
        <f>'Build-to-Lease OS Calculator'!$D$7</f>
        <v>[Address]</v>
      </c>
      <c r="D4" s="204" t="s">
        <v>228</v>
      </c>
      <c r="E4" s="204" t="s">
        <v>229</v>
      </c>
      <c r="K4" s="205" t="s">
        <v>230</v>
      </c>
      <c r="L4" s="205"/>
      <c r="M4" s="205"/>
      <c r="N4" s="205"/>
      <c r="O4" s="205"/>
      <c r="P4" s="205"/>
      <c r="Q4" s="205"/>
    </row>
    <row r="5" spans="2:17" ht="17.100000000000001" customHeight="1">
      <c r="B5" s="206" t="s">
        <v>231</v>
      </c>
      <c r="C5" s="207">
        <f>'Build-to-Lease OS Calculator'!$D$9</f>
        <v>10</v>
      </c>
      <c r="D5" s="208" t="s">
        <v>232</v>
      </c>
      <c r="E5" s="208"/>
      <c r="K5" s="209" t="s">
        <v>33</v>
      </c>
      <c r="L5" s="210" t="s">
        <v>233</v>
      </c>
      <c r="M5" s="210" t="s">
        <v>234</v>
      </c>
      <c r="N5" s="210" t="s">
        <v>235</v>
      </c>
      <c r="O5" s="210" t="s">
        <v>236</v>
      </c>
      <c r="P5" s="210" t="s">
        <v>237</v>
      </c>
      <c r="Q5" s="210" t="s">
        <v>238</v>
      </c>
    </row>
    <row r="6" spans="2:17" ht="15.6" customHeight="1">
      <c r="B6" s="211" t="s">
        <v>239</v>
      </c>
      <c r="C6" s="212">
        <f>'Build-to-Lease OS Calculator'!$D$20</f>
        <v>10</v>
      </c>
      <c r="D6" s="213" t="s">
        <v>232</v>
      </c>
      <c r="E6" s="213"/>
      <c r="J6" s="214" t="s">
        <v>240</v>
      </c>
      <c r="K6" s="215" t="s">
        <v>241</v>
      </c>
      <c r="L6" s="216">
        <v>39029.46666666666</v>
      </c>
      <c r="M6" s="217" t="s">
        <v>242</v>
      </c>
      <c r="N6" s="217">
        <v>30683.074979463894</v>
      </c>
      <c r="O6" s="218">
        <v>0.27201940134060831</v>
      </c>
      <c r="P6" s="218" t="s">
        <v>147</v>
      </c>
      <c r="Q6" s="219">
        <v>122</v>
      </c>
    </row>
    <row r="7" spans="2:17" ht="15.6" customHeight="1">
      <c r="B7" s="206" t="s">
        <v>257</v>
      </c>
      <c r="C7" s="220">
        <f>WOL!$D$31</f>
        <v>2353828.6741506471</v>
      </c>
      <c r="D7" s="208" t="s">
        <v>232</v>
      </c>
      <c r="E7" s="208"/>
      <c r="K7" s="215" t="s">
        <v>243</v>
      </c>
      <c r="L7" s="217">
        <v>46198.53333333334</v>
      </c>
      <c r="M7" s="217" t="s">
        <v>242</v>
      </c>
      <c r="N7" s="217">
        <v>35833.576406839537</v>
      </c>
      <c r="O7" s="218">
        <v>0.28925264977222453</v>
      </c>
      <c r="P7" s="218" t="s">
        <v>147</v>
      </c>
      <c r="Q7" s="219">
        <v>141</v>
      </c>
    </row>
    <row r="8" spans="2:17" ht="15.6" customHeight="1">
      <c r="B8" s="211" t="s">
        <v>244</v>
      </c>
      <c r="C8" s="212"/>
      <c r="D8" s="213"/>
      <c r="E8" s="213"/>
      <c r="K8" s="215" t="s">
        <v>245</v>
      </c>
      <c r="L8" s="217" t="s">
        <v>246</v>
      </c>
      <c r="M8" s="217">
        <v>0</v>
      </c>
      <c r="N8" s="217">
        <v>40636.873760633898</v>
      </c>
      <c r="O8" s="218" t="s">
        <v>147</v>
      </c>
      <c r="P8" s="218" t="s">
        <v>147</v>
      </c>
      <c r="Q8" s="219">
        <v>50</v>
      </c>
    </row>
    <row r="9" spans="2:17" ht="15.6" customHeight="1">
      <c r="B9" s="221" t="s">
        <v>106</v>
      </c>
      <c r="C9" s="222">
        <f>IF(_xlfn.XLOOKUP(B9,'Build-to-Lease OS Calculator'!$C$51:$C$55,'Build-to-Lease OS Calculator'!$E$51:$E$55)=0,"n/a",(_xlfn.XLOOKUP(B9,'Build-to-Lease OS Calculator'!$C$51:$C$55,'Build-to-Lease OS Calculator'!$E$51:$E$55)))</f>
        <v>350</v>
      </c>
      <c r="D9" s="208" t="s">
        <v>232</v>
      </c>
      <c r="E9" s="208"/>
      <c r="K9" s="215" t="s">
        <v>247</v>
      </c>
      <c r="L9" s="217" t="s">
        <v>246</v>
      </c>
      <c r="M9" s="217">
        <v>0</v>
      </c>
      <c r="N9" s="217">
        <v>43703.949909520808</v>
      </c>
      <c r="O9" s="218" t="s">
        <v>147</v>
      </c>
      <c r="P9" s="218" t="s">
        <v>147</v>
      </c>
      <c r="Q9" s="219">
        <v>29</v>
      </c>
    </row>
    <row r="10" spans="2:17" ht="15.6" customHeight="1">
      <c r="B10" s="221" t="s">
        <v>107</v>
      </c>
      <c r="C10" s="222">
        <f>IF(_xlfn.XLOOKUP(B10,'Build-to-Lease OS Calculator'!$C$51:$C$55,'Build-to-Lease OS Calculator'!$E$51:$E$55)=0,"n/a",(_xlfn.XLOOKUP(B10,'Build-to-Lease OS Calculator'!$C$51:$C$55,'Build-to-Lease OS Calculator'!$E$51:$E$55)))</f>
        <v>450</v>
      </c>
      <c r="D10" s="208" t="s">
        <v>232</v>
      </c>
      <c r="E10" s="208"/>
      <c r="K10" s="215" t="s">
        <v>248</v>
      </c>
      <c r="L10" s="217" t="s">
        <v>246</v>
      </c>
      <c r="M10" s="217">
        <v>0</v>
      </c>
      <c r="N10" s="217">
        <v>63240.167454377122</v>
      </c>
      <c r="O10" s="218" t="s">
        <v>147</v>
      </c>
      <c r="P10" s="218" t="s">
        <v>147</v>
      </c>
      <c r="Q10" s="219">
        <v>11</v>
      </c>
    </row>
    <row r="11" spans="2:17" ht="15.6" customHeight="1">
      <c r="B11" s="221" t="s">
        <v>108</v>
      </c>
      <c r="C11" s="222" t="str">
        <f>IF(_xlfn.XLOOKUP(B11,'Build-to-Lease OS Calculator'!$C$51:$C$55,'Build-to-Lease OS Calculator'!$E$51:$E$55)=0,"n/a",(_xlfn.XLOOKUP(B11,'Build-to-Lease OS Calculator'!$C$51:$C$55,'Build-to-Lease OS Calculator'!$E$51:$E$55)))</f>
        <v>n/a</v>
      </c>
      <c r="D11" s="208" t="s">
        <v>232</v>
      </c>
      <c r="E11" s="208"/>
    </row>
    <row r="12" spans="2:17" ht="15.6" customHeight="1">
      <c r="B12" s="221" t="s">
        <v>109</v>
      </c>
      <c r="C12" s="222" t="str">
        <f>IF(_xlfn.XLOOKUP(B12,'Build-to-Lease OS Calculator'!$C$51:$C$55,'Build-to-Lease OS Calculator'!$E$51:$E$55)=0,"n/a",(_xlfn.XLOOKUP(B12,'Build-to-Lease OS Calculator'!$C$51:$C$55,'Build-to-Lease OS Calculator'!$E$51:$E$55)))</f>
        <v>n/a</v>
      </c>
      <c r="D12" s="208" t="s">
        <v>232</v>
      </c>
      <c r="E12" s="208"/>
    </row>
    <row r="13" spans="2:17" ht="15.6" customHeight="1">
      <c r="B13" s="221" t="s">
        <v>110</v>
      </c>
      <c r="C13" s="222" t="str">
        <f>IF(_xlfn.XLOOKUP(B13,'Build-to-Lease OS Calculator'!$C$51:$C$55,'Build-to-Lease OS Calculator'!$E$51:$E$55)=0,"n/a",(_xlfn.XLOOKUP(B13,'Build-to-Lease OS Calculator'!$C$51:$C$55,'Build-to-Lease OS Calculator'!$E$51:$E$55)))</f>
        <v>n/a</v>
      </c>
      <c r="D13" s="208" t="s">
        <v>232</v>
      </c>
      <c r="E13" s="208"/>
    </row>
    <row r="14" spans="2:17" ht="15.6" customHeight="1">
      <c r="B14" s="211" t="s">
        <v>249</v>
      </c>
      <c r="C14" s="212"/>
      <c r="D14" s="213"/>
      <c r="E14" s="213"/>
    </row>
    <row r="15" spans="2:17" ht="15.6" customHeight="1">
      <c r="B15" s="221" t="s">
        <v>106</v>
      </c>
      <c r="C15" s="222">
        <f>IF('Build-to-Lease OS Calculator'!E51=0,"n/a",'Build-to-Lease OS Calculator'!$D$10*'Build-to-Lease OS Calculator'!E51)</f>
        <v>115.5</v>
      </c>
      <c r="D15" s="208" t="s">
        <v>232</v>
      </c>
      <c r="E15" s="208"/>
    </row>
    <row r="16" spans="2:17" ht="15.6" customHeight="1">
      <c r="B16" s="221" t="s">
        <v>107</v>
      </c>
      <c r="C16" s="222">
        <f>IF('Build-to-Lease OS Calculator'!E52=0,"n/a",'Build-to-Lease OS Calculator'!$D$10*'Build-to-Lease OS Calculator'!E52)</f>
        <v>148.5</v>
      </c>
      <c r="D16" s="208" t="s">
        <v>232</v>
      </c>
      <c r="E16" s="208"/>
    </row>
    <row r="17" spans="2:5" ht="15.6" customHeight="1">
      <c r="B17" s="221" t="s">
        <v>108</v>
      </c>
      <c r="C17" s="222" t="str">
        <f>IF('Build-to-Lease OS Calculator'!E53=0,"n/a",'Build-to-Lease OS Calculator'!$D$10*'Build-to-Lease OS Calculator'!E53)</f>
        <v>n/a</v>
      </c>
      <c r="D17" s="208" t="s">
        <v>232</v>
      </c>
      <c r="E17" s="208"/>
    </row>
    <row r="18" spans="2:5" ht="15.6" customHeight="1">
      <c r="B18" s="221" t="s">
        <v>109</v>
      </c>
      <c r="C18" s="222" t="str">
        <f>IF('Build-to-Lease OS Calculator'!E54=0,"n/a",'Build-to-Lease OS Calculator'!$D$10*'Build-to-Lease OS Calculator'!E54)</f>
        <v>n/a</v>
      </c>
      <c r="D18" s="208" t="s">
        <v>232</v>
      </c>
      <c r="E18" s="208"/>
    </row>
    <row r="19" spans="2:5" ht="15.6" customHeight="1">
      <c r="B19" s="221" t="s">
        <v>110</v>
      </c>
      <c r="C19" s="222" t="str">
        <f>IF('Build-to-Lease OS Calculator'!E55=0,"n/a",'Build-to-Lease OS Calculator'!$D$10*'Build-to-Lease OS Calculator'!E55)</f>
        <v>n/a</v>
      </c>
      <c r="D19" s="208" t="s">
        <v>232</v>
      </c>
      <c r="E19" s="208"/>
    </row>
    <row r="20" spans="2:5" ht="15.6" customHeight="1">
      <c r="B20" s="223" t="s">
        <v>259</v>
      </c>
      <c r="C20" s="224">
        <f>SUMPRODUCT($C$21:$C$25,'Build-to-Lease OS Calculator'!$D$15:$D$19)/'Build-to-Lease OS Calculator'!$D$20</f>
        <v>42614</v>
      </c>
      <c r="D20" s="224">
        <f>SUMPRODUCT($N$6:$N$10,'Build-to-Lease OS Calculator'!$D$15:$D$19)/'Build-to-Lease OS Calculator'!$D$20</f>
        <v>33258.325693151717</v>
      </c>
      <c r="E20" s="224"/>
    </row>
    <row r="21" spans="2:5">
      <c r="B21" s="221" t="s">
        <v>106</v>
      </c>
      <c r="C21" s="222">
        <f>L6</f>
        <v>39029.46666666666</v>
      </c>
      <c r="D21" s="222">
        <f>IF(C21="","",N6)</f>
        <v>30683.074979463894</v>
      </c>
      <c r="E21" s="222"/>
    </row>
    <row r="22" spans="2:5">
      <c r="B22" s="221" t="s">
        <v>107</v>
      </c>
      <c r="C22" s="222">
        <f>L7</f>
        <v>46198.53333333334</v>
      </c>
      <c r="D22" s="222">
        <f t="shared" ref="D22:D25" si="0">IF(C22="","",N7)</f>
        <v>35833.576406839537</v>
      </c>
      <c r="E22" s="222"/>
    </row>
    <row r="23" spans="2:5">
      <c r="B23" s="221" t="s">
        <v>108</v>
      </c>
      <c r="C23" s="222" t="str">
        <f t="shared" ref="C23:C25" si="1">L8</f>
        <v/>
      </c>
      <c r="D23" s="222" t="str">
        <f t="shared" si="0"/>
        <v/>
      </c>
      <c r="E23" s="222"/>
    </row>
    <row r="24" spans="2:5">
      <c r="B24" s="221" t="s">
        <v>109</v>
      </c>
      <c r="C24" s="222" t="str">
        <f t="shared" si="1"/>
        <v/>
      </c>
      <c r="D24" s="222" t="str">
        <f t="shared" si="0"/>
        <v/>
      </c>
      <c r="E24" s="222"/>
    </row>
    <row r="25" spans="2:5">
      <c r="B25" s="221" t="s">
        <v>110</v>
      </c>
      <c r="C25" s="222" t="str">
        <f t="shared" si="1"/>
        <v/>
      </c>
      <c r="D25" s="222" t="str">
        <f t="shared" si="0"/>
        <v/>
      </c>
      <c r="E25" s="222"/>
    </row>
    <row r="26" spans="2:5" ht="15.6" customHeight="1">
      <c r="B26" s="206" t="s">
        <v>250</v>
      </c>
      <c r="C26" s="222">
        <f>'Build-to-Lease OS Calculator'!$E$31</f>
        <v>2200</v>
      </c>
      <c r="D26" s="222"/>
      <c r="E26" s="222"/>
    </row>
    <row r="27" spans="2:5" ht="15.6" customHeight="1">
      <c r="B27" s="211" t="s">
        <v>251</v>
      </c>
      <c r="C27" s="224">
        <f>'Build-to-Lease OS Calculator'!$F$39/'Build-to-Lease OS Calculator'!$F$25</f>
        <v>5485.208333333333</v>
      </c>
      <c r="D27" s="224"/>
      <c r="E27" s="224"/>
    </row>
    <row r="28" spans="2:5" ht="15.6" customHeight="1">
      <c r="B28" s="225" t="s">
        <v>252</v>
      </c>
    </row>
    <row r="29" spans="2:5" ht="15.4">
      <c r="B29" s="226" t="s">
        <v>258</v>
      </c>
    </row>
    <row r="30" spans="2:5" ht="15.4">
      <c r="B30" s="226" t="s">
        <v>256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61565-BF8D-4BA3-9D69-2663D4EDD0C7}">
  <sheetPr>
    <tabColor theme="1"/>
  </sheetPr>
  <dimension ref="C3:M38"/>
  <sheetViews>
    <sheetView showGridLines="0" zoomScale="80" zoomScaleNormal="80" workbookViewId="0">
      <selection activeCell="I31" sqref="I31"/>
    </sheetView>
  </sheetViews>
  <sheetFormatPr defaultColWidth="9" defaultRowHeight="14.25" outlineLevelRow="1"/>
  <cols>
    <col min="1" max="2" width="5.375" style="20" customWidth="1"/>
    <col min="3" max="3" width="44.875" style="20" bestFit="1" customWidth="1"/>
    <col min="4" max="4" width="19.375" style="20" customWidth="1"/>
    <col min="5" max="5" width="5.375" style="20" customWidth="1"/>
    <col min="6" max="8" width="9" style="20"/>
    <col min="9" max="9" width="23.5625" style="20" bestFit="1" customWidth="1"/>
    <col min="10" max="10" width="10.4375" style="20" bestFit="1" customWidth="1"/>
    <col min="11" max="11" width="12.3125" style="20" bestFit="1" customWidth="1"/>
    <col min="12" max="12" width="11.3125" style="20" bestFit="1" customWidth="1"/>
    <col min="13" max="13" width="9.5625" style="20" bestFit="1" customWidth="1"/>
    <col min="14" max="16384" width="9" style="20"/>
  </cols>
  <sheetData>
    <row r="3" spans="3:13">
      <c r="C3" s="25" t="s">
        <v>193</v>
      </c>
      <c r="D3" s="25"/>
      <c r="E3" s="26"/>
    </row>
    <row r="4" spans="3:13">
      <c r="D4" s="27"/>
      <c r="E4" s="26"/>
      <c r="I4" s="2" t="s">
        <v>264</v>
      </c>
    </row>
    <row r="5" spans="3:13">
      <c r="C5" s="28" t="s">
        <v>58</v>
      </c>
      <c r="D5" s="29" t="s">
        <v>211</v>
      </c>
      <c r="E5" s="26"/>
    </row>
    <row r="6" spans="3:13">
      <c r="C6" s="28" t="s">
        <v>3</v>
      </c>
      <c r="D6" s="30" t="str">
        <f>'Build-to-Lease OS Calculator'!D6</f>
        <v>[CHP Full Name]</v>
      </c>
      <c r="E6" s="26"/>
      <c r="I6" s="233" t="s">
        <v>267</v>
      </c>
      <c r="J6" s="235" t="s">
        <v>269</v>
      </c>
      <c r="K6" s="235" t="s">
        <v>270</v>
      </c>
      <c r="L6" s="235" t="s">
        <v>271</v>
      </c>
      <c r="M6" s="235" t="s">
        <v>272</v>
      </c>
    </row>
    <row r="7" spans="3:13">
      <c r="C7" s="28" t="s">
        <v>59</v>
      </c>
      <c r="D7" s="30" t="str">
        <f>'Build-to-Lease OS Calculator'!D7</f>
        <v>[Address]</v>
      </c>
      <c r="E7" s="26"/>
      <c r="I7" s="234" t="s">
        <v>274</v>
      </c>
      <c r="J7" s="237">
        <v>-4160.0000000000036</v>
      </c>
      <c r="K7" s="236">
        <v>-416.00000000000034</v>
      </c>
      <c r="L7" s="236">
        <v>0</v>
      </c>
      <c r="M7" s="236">
        <v>-4160.0000000000036</v>
      </c>
    </row>
    <row r="8" spans="3:13">
      <c r="C8" s="28" t="s">
        <v>194</v>
      </c>
      <c r="D8" s="33">
        <f>'Build-to-Lease OS Calculator'!D20</f>
        <v>10</v>
      </c>
      <c r="E8" s="26"/>
      <c r="I8" s="234" t="s">
        <v>17</v>
      </c>
      <c r="J8" s="237">
        <v>-25000</v>
      </c>
      <c r="K8" s="236">
        <v>-2500</v>
      </c>
      <c r="L8" s="236">
        <v>-25000</v>
      </c>
      <c r="M8" s="236">
        <v>0</v>
      </c>
    </row>
    <row r="9" spans="3:13">
      <c r="E9" s="26"/>
      <c r="I9" s="234" t="s">
        <v>34</v>
      </c>
      <c r="J9" s="237">
        <v>-15000</v>
      </c>
      <c r="K9" s="236">
        <v>-1500</v>
      </c>
      <c r="L9" s="236">
        <v>-12500</v>
      </c>
      <c r="M9" s="236">
        <v>-2500</v>
      </c>
    </row>
    <row r="10" spans="3:13">
      <c r="C10" s="31" t="s">
        <v>195</v>
      </c>
      <c r="D10" s="32"/>
      <c r="E10" s="26"/>
      <c r="I10" s="234" t="s">
        <v>260</v>
      </c>
      <c r="J10" s="237">
        <v>-39500</v>
      </c>
      <c r="K10" s="236">
        <v>-3950</v>
      </c>
      <c r="L10" s="236">
        <v>-17000</v>
      </c>
      <c r="M10" s="236">
        <v>-22500</v>
      </c>
    </row>
    <row r="11" spans="3:13">
      <c r="C11" s="28" t="s">
        <v>196</v>
      </c>
      <c r="D11" s="33">
        <f>'Build-to-Lease OS Calculator'!E82</f>
        <v>208000</v>
      </c>
      <c r="E11" s="26"/>
      <c r="I11" s="234" t="s">
        <v>119</v>
      </c>
      <c r="J11" s="237">
        <v>-10000</v>
      </c>
      <c r="K11" s="236">
        <v>-1000</v>
      </c>
      <c r="L11" s="236">
        <v>-10000</v>
      </c>
      <c r="M11" s="236">
        <v>0</v>
      </c>
    </row>
    <row r="12" spans="3:13">
      <c r="C12" s="28" t="s">
        <v>212</v>
      </c>
      <c r="D12" s="34"/>
      <c r="E12" s="26"/>
      <c r="I12" s="234" t="s">
        <v>262</v>
      </c>
      <c r="J12" s="237">
        <v>-1500</v>
      </c>
      <c r="K12" s="236">
        <v>-150</v>
      </c>
      <c r="L12" s="236">
        <v>0</v>
      </c>
      <c r="M12" s="236">
        <v>-1500</v>
      </c>
    </row>
    <row r="13" spans="3:13">
      <c r="C13" s="28" t="s">
        <v>197</v>
      </c>
      <c r="D13" s="34"/>
      <c r="E13" s="26"/>
      <c r="I13" s="234" t="s">
        <v>27</v>
      </c>
      <c r="J13" s="237">
        <v>-28000</v>
      </c>
      <c r="K13" s="236">
        <v>-2800</v>
      </c>
      <c r="L13" s="236">
        <v>0</v>
      </c>
      <c r="M13" s="236">
        <v>-28000</v>
      </c>
    </row>
    <row r="14" spans="3:13">
      <c r="C14" s="28" t="s">
        <v>198</v>
      </c>
      <c r="D14" s="33">
        <f>D13-D12</f>
        <v>0</v>
      </c>
      <c r="E14" s="26"/>
      <c r="I14" s="234" t="s">
        <v>273</v>
      </c>
      <c r="J14" s="237">
        <v>-8175</v>
      </c>
      <c r="K14" s="236">
        <v>-817.5</v>
      </c>
      <c r="L14" s="236">
        <v>0</v>
      </c>
      <c r="M14" s="236">
        <v>-8175</v>
      </c>
    </row>
    <row r="15" spans="3:13">
      <c r="C15" s="28" t="s">
        <v>199</v>
      </c>
      <c r="D15" s="33">
        <f>D11*(1+D22)^(D14/365)-1</f>
        <v>207999</v>
      </c>
      <c r="E15" s="26"/>
      <c r="I15" s="234" t="s">
        <v>268</v>
      </c>
      <c r="J15" s="237">
        <v>-131335</v>
      </c>
      <c r="K15" s="236">
        <v>-13133.5</v>
      </c>
      <c r="L15" s="236">
        <v>-64500</v>
      </c>
      <c r="M15" s="236">
        <v>-66835</v>
      </c>
    </row>
    <row r="16" spans="3:13">
      <c r="I16"/>
      <c r="J16"/>
      <c r="K16"/>
      <c r="L16"/>
      <c r="M16"/>
    </row>
    <row r="17" spans="3:4">
      <c r="C17" s="28" t="s">
        <v>60</v>
      </c>
      <c r="D17" s="35">
        <f>'Build-to-Lease OS Calculator'!I110</f>
        <v>0.33</v>
      </c>
    </row>
    <row r="18" spans="3:4">
      <c r="C18" s="28" t="s">
        <v>200</v>
      </c>
      <c r="D18" s="36">
        <f>1-IRR!$F$10</f>
        <v>0.70350000000000001</v>
      </c>
    </row>
    <row r="19" spans="3:4">
      <c r="C19" s="20" t="s">
        <v>201</v>
      </c>
      <c r="D19" s="20">
        <f>'Build-to-Lease OS Calculator'!D9</f>
        <v>10</v>
      </c>
    </row>
    <row r="20" spans="3:4">
      <c r="C20" s="28"/>
      <c r="D20" s="33"/>
    </row>
    <row r="21" spans="3:4">
      <c r="C21" s="31" t="s">
        <v>202</v>
      </c>
      <c r="D21" s="33"/>
    </row>
    <row r="22" spans="3:4">
      <c r="C22" s="28" t="s">
        <v>203</v>
      </c>
      <c r="D22" s="37">
        <v>0.02</v>
      </c>
    </row>
    <row r="23" spans="3:4">
      <c r="C23" s="28"/>
      <c r="D23" s="38"/>
    </row>
    <row r="24" spans="3:4">
      <c r="C24" s="31" t="s">
        <v>204</v>
      </c>
      <c r="D24" s="33"/>
    </row>
    <row r="25" spans="3:4">
      <c r="C25" s="28" t="s">
        <v>124</v>
      </c>
      <c r="D25" s="39">
        <f>$D$11*D17</f>
        <v>68640</v>
      </c>
    </row>
    <row r="26" spans="3:4">
      <c r="C26" s="28" t="s">
        <v>205</v>
      </c>
      <c r="D26" s="39">
        <f>$D$11*D18</f>
        <v>146328</v>
      </c>
    </row>
    <row r="27" spans="3:4">
      <c r="C27" s="22" t="s">
        <v>206</v>
      </c>
      <c r="D27" s="40">
        <f>SUM(D25:D26)</f>
        <v>214968</v>
      </c>
    </row>
    <row r="28" spans="3:4" hidden="1" outlineLevel="1">
      <c r="C28" s="31" t="s">
        <v>253</v>
      </c>
      <c r="D28" s="41">
        <f>-FV(D22,D19,D27,0,0)</f>
        <v>2353839.6238716473</v>
      </c>
    </row>
    <row r="29" spans="3:4" hidden="1" outlineLevel="1">
      <c r="C29" s="28"/>
    </row>
    <row r="30" spans="3:4" hidden="1" outlineLevel="1">
      <c r="C30" s="22" t="s">
        <v>207</v>
      </c>
      <c r="D30" s="40">
        <f>D27*(1+D22)^(D14/365)-1</f>
        <v>214967</v>
      </c>
    </row>
    <row r="31" spans="3:4" collapsed="1">
      <c r="C31" s="227" t="s">
        <v>254</v>
      </c>
      <c r="D31" s="228">
        <f>-FV(D22,D19,D30,0,0)</f>
        <v>2353828.6741506471</v>
      </c>
    </row>
    <row r="33" spans="3:4">
      <c r="C33" s="238" t="s">
        <v>275</v>
      </c>
      <c r="D33" s="239">
        <f>((D11*D18)+(D11*D17))/D8</f>
        <v>21496.799999999999</v>
      </c>
    </row>
    <row r="34" spans="3:4">
      <c r="C34" s="229" t="s">
        <v>255</v>
      </c>
      <c r="D34" s="228">
        <f>SUM((D11*D18)+(D11*D17))/D8</f>
        <v>21496.799999999999</v>
      </c>
    </row>
    <row r="36" spans="3:4">
      <c r="C36" s="2" t="s">
        <v>208</v>
      </c>
    </row>
    <row r="37" spans="3:4">
      <c r="C37" s="20" t="s">
        <v>209</v>
      </c>
      <c r="D37" s="39">
        <f>D31-D28</f>
        <v>-10.949721000157297</v>
      </c>
    </row>
    <row r="38" spans="3:4">
      <c r="C38" s="20" t="s">
        <v>210</v>
      </c>
      <c r="D38" s="42">
        <f>D37/D28</f>
        <v>-4.651855160015938E-6</v>
      </c>
    </row>
  </sheetData>
  <sheetProtection algorithmName="SHA-512" hashValue="TSCWrpEGv8BPwv8NDrHU/aycy5nIvAIxkmqSPUbm82knZAC/dDwTYyDzctMmuCgRIeT4KNC2/YRRC+NwSAuCgA==" saltValue="6dUCqn3Lv62C5vTj02Kd5g==" spinCount="100000" sheet="1" objects="1" scenarios="1"/>
  <pageMargins left="0.7" right="0.7" top="0.75" bottom="0.75" header="0.3" footer="0.3"/>
  <pageSetup paperSize="9" orientation="portrait" r:id="rId2"/>
  <headerFooter>
    <oddFooter>&amp;C_x000D_&amp;1#&amp;"Calibri"&amp;10&amp;K000000 [UNCLASSIFIED]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BC0D6-DA8A-4329-A4BC-820FFD921B0E}">
  <sheetPr>
    <tabColor theme="1"/>
  </sheetPr>
  <dimension ref="B2:M16"/>
  <sheetViews>
    <sheetView showGridLines="0" zoomScale="80" zoomScaleNormal="80" workbookViewId="0">
      <selection activeCell="L27" sqref="L27"/>
    </sheetView>
  </sheetViews>
  <sheetFormatPr defaultColWidth="9" defaultRowHeight="14.25"/>
  <cols>
    <col min="1" max="1" width="9" style="20"/>
    <col min="2" max="2" width="11.125" style="20" customWidth="1"/>
    <col min="3" max="3" width="8.5" style="20" customWidth="1"/>
    <col min="4" max="4" width="11" style="20" customWidth="1"/>
    <col min="5" max="5" width="12" style="20" customWidth="1"/>
    <col min="6" max="6" width="10.125" style="20" customWidth="1"/>
    <col min="7" max="7" width="10.625" style="20" customWidth="1"/>
    <col min="8" max="8" width="17.875" style="20" bestFit="1" customWidth="1"/>
    <col min="9" max="12" width="9" style="20"/>
    <col min="13" max="13" width="10.75" style="20" bestFit="1" customWidth="1"/>
    <col min="14" max="15" width="9" style="20"/>
    <col min="16" max="16" width="17.875" style="20" bestFit="1" customWidth="1"/>
    <col min="17" max="16384" width="9" style="20"/>
  </cols>
  <sheetData>
    <row r="2" spans="2:13">
      <c r="B2" s="65" t="s">
        <v>62</v>
      </c>
      <c r="C2" s="61" t="s">
        <v>57</v>
      </c>
      <c r="E2" s="175" t="s">
        <v>63</v>
      </c>
      <c r="H2" s="65"/>
    </row>
    <row r="3" spans="2:13">
      <c r="H3" s="185" t="s">
        <v>222</v>
      </c>
      <c r="I3" s="185"/>
      <c r="J3" s="186"/>
      <c r="K3" s="186"/>
      <c r="L3" s="187" t="s">
        <v>223</v>
      </c>
      <c r="M3" s="188">
        <v>45657</v>
      </c>
    </row>
    <row r="4" spans="2:13">
      <c r="B4" s="46" t="s">
        <v>33</v>
      </c>
      <c r="C4" s="47" t="s">
        <v>64</v>
      </c>
      <c r="D4" s="47" t="s">
        <v>65</v>
      </c>
      <c r="E4" s="47" t="s">
        <v>66</v>
      </c>
      <c r="F4" s="48" t="s">
        <v>67</v>
      </c>
      <c r="H4" s="189"/>
      <c r="I4" s="251" t="s">
        <v>68</v>
      </c>
      <c r="J4" s="252"/>
      <c r="K4" s="252"/>
      <c r="L4" s="252"/>
      <c r="M4" s="253"/>
    </row>
    <row r="5" spans="2:13" ht="14.25" customHeight="1">
      <c r="B5" s="176" t="s">
        <v>69</v>
      </c>
      <c r="C5" s="177">
        <f>'Build-to-Lease OS Calculator'!D15</f>
        <v>5</v>
      </c>
      <c r="D5" s="177" cm="1">
        <f t="array" ref="D5">INDEX(I$6:I$16,MATCH($C$2,$H$6:$H$16,0),)</f>
        <v>102.3</v>
      </c>
      <c r="E5" s="177">
        <f>'Build-to-Lease OS Calculator'!E51</f>
        <v>350</v>
      </c>
      <c r="F5" s="178">
        <f>IF(E5=0,0,+D5/E5)</f>
        <v>0.29228571428571426</v>
      </c>
      <c r="H5" s="190" t="s">
        <v>70</v>
      </c>
      <c r="I5" s="191">
        <v>1</v>
      </c>
      <c r="J5" s="191">
        <v>2</v>
      </c>
      <c r="K5" s="191">
        <v>3</v>
      </c>
      <c r="L5" s="191">
        <v>4</v>
      </c>
      <c r="M5" s="191" t="s">
        <v>71</v>
      </c>
    </row>
    <row r="6" spans="2:13" ht="14.25" customHeight="1">
      <c r="B6" s="176" t="s">
        <v>72</v>
      </c>
      <c r="C6" s="177">
        <f>'Build-to-Lease OS Calculator'!D16</f>
        <v>5</v>
      </c>
      <c r="D6" s="177" cm="1">
        <f t="array" ref="D6">INDEX(J$6:J$16,MATCH($C$2,$H$6:$H$16,0),)</f>
        <v>134.9</v>
      </c>
      <c r="E6" s="177">
        <f>'Build-to-Lease OS Calculator'!E52</f>
        <v>450</v>
      </c>
      <c r="F6" s="178">
        <f>IF(E6=0,0,+D6/E6)</f>
        <v>0.29977777777777781</v>
      </c>
      <c r="H6" s="192" t="s">
        <v>57</v>
      </c>
      <c r="I6" s="193">
        <v>102.3</v>
      </c>
      <c r="J6" s="193">
        <v>134.9</v>
      </c>
      <c r="K6" s="193">
        <v>162.80000000000001</v>
      </c>
      <c r="L6" s="193">
        <v>190.6</v>
      </c>
      <c r="M6" s="193">
        <v>200.8</v>
      </c>
    </row>
    <row r="7" spans="2:13" ht="14.25" customHeight="1">
      <c r="B7" s="176" t="s">
        <v>73</v>
      </c>
      <c r="C7" s="177">
        <f>'Build-to-Lease OS Calculator'!D17</f>
        <v>0</v>
      </c>
      <c r="D7" s="177" cm="1">
        <f t="array" ref="D7">INDEX(K$6:K$16,MATCH($C$2,$H$6:$H$16,0),)</f>
        <v>162.80000000000001</v>
      </c>
      <c r="E7" s="177">
        <f>'Build-to-Lease OS Calculator'!E53</f>
        <v>0</v>
      </c>
      <c r="F7" s="178">
        <f>IF(E7=0,0,+D7/E7)</f>
        <v>0</v>
      </c>
      <c r="H7" s="194" t="s">
        <v>76</v>
      </c>
      <c r="I7" s="193">
        <v>98.6</v>
      </c>
      <c r="J7" s="193">
        <v>114.9</v>
      </c>
      <c r="K7" s="193">
        <v>143.9</v>
      </c>
      <c r="L7" s="193">
        <v>150.80000000000001</v>
      </c>
      <c r="M7" s="193">
        <v>186.2</v>
      </c>
    </row>
    <row r="8" spans="2:13" ht="14.25" customHeight="1">
      <c r="B8" s="176" t="s">
        <v>74</v>
      </c>
      <c r="C8" s="177">
        <f>'Build-to-Lease OS Calculator'!D18</f>
        <v>0</v>
      </c>
      <c r="D8" s="177" cm="1">
        <f t="array" ref="D8">INDEX(L$6:L$16,MATCH($C$2,$H$6:$H$16,0),)</f>
        <v>190.6</v>
      </c>
      <c r="E8" s="177">
        <f>'Build-to-Lease OS Calculator'!E54</f>
        <v>0</v>
      </c>
      <c r="F8" s="178">
        <f>IF(E8=0,0,+D8/E8)</f>
        <v>0</v>
      </c>
      <c r="H8" s="194" t="s">
        <v>77</v>
      </c>
      <c r="I8" s="193">
        <v>91.3</v>
      </c>
      <c r="J8" s="193">
        <v>114.6</v>
      </c>
      <c r="K8" s="193">
        <v>138.6</v>
      </c>
      <c r="L8" s="193">
        <v>156.6</v>
      </c>
      <c r="M8" s="193">
        <v>180.8</v>
      </c>
    </row>
    <row r="9" spans="2:13" ht="14.25" customHeight="1">
      <c r="B9" s="179" t="s">
        <v>75</v>
      </c>
      <c r="C9" s="180">
        <f>'Build-to-Lease OS Calculator'!D19</f>
        <v>0</v>
      </c>
      <c r="D9" s="180" cm="1">
        <f t="array" ref="D9">INDEX(M$6:M$16,MATCH($C$2,$H$6:$H$16,0),)</f>
        <v>200.8</v>
      </c>
      <c r="E9" s="180">
        <f>'Build-to-Lease OS Calculator'!E55</f>
        <v>0</v>
      </c>
      <c r="F9" s="181">
        <f>IF(E9=0,0,+D9/E9)</f>
        <v>0</v>
      </c>
      <c r="H9" s="194" t="s">
        <v>78</v>
      </c>
      <c r="I9" s="193">
        <v>102.6</v>
      </c>
      <c r="J9" s="193">
        <v>123.2</v>
      </c>
      <c r="K9" s="193">
        <v>150.4</v>
      </c>
      <c r="L9" s="193">
        <v>159.80000000000001</v>
      </c>
      <c r="M9" s="193">
        <v>174.4</v>
      </c>
    </row>
    <row r="10" spans="2:13" ht="14.25" customHeight="1">
      <c r="B10" s="182"/>
      <c r="C10" s="177"/>
      <c r="D10" s="177"/>
      <c r="E10" s="177"/>
      <c r="F10" s="183">
        <f>SUMPRODUCT(C5:C9,D5:D9)/SUMPRODUCT(C5:C9,E5:E9)</f>
        <v>0.29649999999999999</v>
      </c>
      <c r="H10" s="194" t="s">
        <v>79</v>
      </c>
      <c r="I10" s="193">
        <v>94.1</v>
      </c>
      <c r="J10" s="193">
        <v>119.5</v>
      </c>
      <c r="K10" s="193">
        <v>141.80000000000001</v>
      </c>
      <c r="L10" s="193">
        <v>163.19999999999999</v>
      </c>
      <c r="M10" s="193">
        <v>171.9</v>
      </c>
    </row>
    <row r="11" spans="2:13">
      <c r="H11" s="194" t="s">
        <v>80</v>
      </c>
      <c r="I11" s="193">
        <v>87.9</v>
      </c>
      <c r="J11" s="193">
        <v>107.2</v>
      </c>
      <c r="K11" s="193">
        <v>133.5</v>
      </c>
      <c r="L11" s="193">
        <v>150.9</v>
      </c>
      <c r="M11" s="193">
        <v>154.9</v>
      </c>
    </row>
    <row r="12" spans="2:13">
      <c r="B12" s="2"/>
      <c r="C12" s="2"/>
      <c r="D12" s="163"/>
      <c r="E12" s="163"/>
      <c r="F12" s="163"/>
      <c r="H12" s="194" t="s">
        <v>81</v>
      </c>
      <c r="I12" s="193">
        <v>98.9</v>
      </c>
      <c r="J12" s="193">
        <v>120</v>
      </c>
      <c r="K12" s="193">
        <v>149.9</v>
      </c>
      <c r="L12" s="193">
        <v>172.1</v>
      </c>
      <c r="M12" s="193">
        <v>154.5</v>
      </c>
    </row>
    <row r="13" spans="2:13" s="2" customFormat="1">
      <c r="H13" s="194" t="s">
        <v>82</v>
      </c>
      <c r="I13" s="193">
        <v>90</v>
      </c>
      <c r="J13" s="193">
        <v>99.6</v>
      </c>
      <c r="K13" s="193">
        <v>121.8</v>
      </c>
      <c r="L13" s="193">
        <v>140.4</v>
      </c>
      <c r="M13" s="193">
        <v>170.4</v>
      </c>
    </row>
    <row r="14" spans="2:13">
      <c r="B14" s="2"/>
      <c r="C14" s="2"/>
      <c r="D14" s="2"/>
      <c r="E14" s="2"/>
      <c r="F14" s="2"/>
      <c r="G14" s="2"/>
      <c r="H14" s="194" t="s">
        <v>83</v>
      </c>
      <c r="I14" s="193">
        <v>89.8</v>
      </c>
      <c r="J14" s="193">
        <v>114.1</v>
      </c>
      <c r="K14" s="193">
        <v>140.69999999999999</v>
      </c>
      <c r="L14" s="193">
        <v>155.5</v>
      </c>
      <c r="M14" s="193">
        <v>164.9</v>
      </c>
    </row>
    <row r="15" spans="2:13">
      <c r="B15" s="2"/>
      <c r="C15" s="2"/>
      <c r="D15" s="2"/>
      <c r="E15" s="2"/>
      <c r="F15" s="2"/>
      <c r="G15" s="2"/>
      <c r="H15" s="194" t="s">
        <v>84</v>
      </c>
      <c r="I15" s="193">
        <v>96.6</v>
      </c>
      <c r="J15" s="193">
        <v>124.4</v>
      </c>
      <c r="K15" s="193">
        <v>157.9</v>
      </c>
      <c r="L15" s="193">
        <v>174.7</v>
      </c>
      <c r="M15" s="193">
        <v>201.5</v>
      </c>
    </row>
    <row r="16" spans="2:13">
      <c r="B16" s="2"/>
      <c r="C16" s="2"/>
      <c r="D16" s="2"/>
      <c r="E16" s="2"/>
      <c r="F16" s="2"/>
      <c r="G16" s="2"/>
      <c r="H16" s="195" t="s">
        <v>85</v>
      </c>
      <c r="I16" s="196">
        <v>101.7</v>
      </c>
      <c r="J16" s="196">
        <v>112.5</v>
      </c>
      <c r="K16" s="196">
        <v>139.9</v>
      </c>
      <c r="L16" s="196">
        <v>167.1</v>
      </c>
      <c r="M16" s="196">
        <v>188.5</v>
      </c>
    </row>
  </sheetData>
  <sheetProtection algorithmName="SHA-512" hashValue="Dty4/aDqnzeYHkWI0ljbUnawTEOVwgKCLdLtlq8l3g+pdJg0LowICVaZF7LQh0Oyc4lyJgztkl6GiD18BAsEbg==" saltValue="jd/e51M/Ke/mbcSqXF/R2A==" spinCount="100000" sheet="1" objects="1" scenarios="1"/>
  <mergeCells count="1">
    <mergeCell ref="I4:M4"/>
  </mergeCells>
  <dataValidations count="1">
    <dataValidation type="list" allowBlank="1" showInputMessage="1" showErrorMessage="1" sqref="C2" xr:uid="{F80554BC-5418-4064-A413-C837A9DF5DD9}">
      <formula1>$H$6:$H$16</formula1>
    </dataValidation>
  </dataValidations>
  <pageMargins left="0.7" right="0.7" top="0.75" bottom="0.75" header="0.3" footer="0.3"/>
  <pageSetup orientation="portrait" r:id="rId1"/>
  <headerFooter>
    <oddFooter>&amp;C_x000D_&amp;1#&amp;"Calibri"&amp;10&amp;K000000 [UNCLASSIFIED]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cumentType xmlns="9da600a7-27fd-43ea-8cef-f13e8bd432ff" xsi:nil="true"/>
    <BusinessValue xmlns="4f9c820c-e7e2-444d-97ee-45f2b3485c1d">Normal</BusinessValue>
    <PRADateDisposal xmlns="4f9c820c-e7e2-444d-97ee-45f2b3485c1d" xsi:nil="true"/>
    <Subactivity xmlns="4f9c820c-e7e2-444d-97ee-45f2b3485c1d">Procurement</Subactivity>
    <PRADate3 xmlns="4f9c820c-e7e2-444d-97ee-45f2b3485c1d" xsi:nil="true"/>
    <PRAText5 xmlns="4f9c820c-e7e2-444d-97ee-45f2b3485c1d" xsi:nil="true"/>
    <Activity xmlns="4f9c820c-e7e2-444d-97ee-45f2b3485c1d">Services &amp; Supply</Activity>
    <Financial_x0020_year xmlns="cc3c8d93-9f70-45a7-929c-bc05fca4adc9" xsi:nil="true"/>
    <PRADate2 xmlns="4f9c820c-e7e2-444d-97ee-45f2b3485c1d" xsi:nil="true"/>
    <Case xmlns="4f9c820c-e7e2-444d-97ee-45f2b3485c1d">NA</Case>
    <PRAText1 xmlns="4f9c820c-e7e2-444d-97ee-45f2b3485c1d" xsi:nil="true"/>
    <PRAText4 xmlns="4f9c820c-e7e2-444d-97ee-45f2b3485c1d" xsi:nil="true"/>
    <Year xmlns="9da600a7-27fd-43ea-8cef-f13e8bd432ff" xsi:nil="true"/>
    <Project xmlns="97c71325-65b9-4833-a997-d05ab51373a7" xsi:nil="true"/>
    <Function xmlns="4f9c820c-e7e2-444d-97ee-45f2b3485c1d">Funding &amp; Programme Delivery</Function>
    <PRAType xmlns="4f9c820c-e7e2-444d-97ee-45f2b3485c1d">Doc</PRAType>
    <PRADate1 xmlns="4f9c820c-e7e2-444d-97ee-45f2b3485c1d" xsi:nil="true"/>
    <PRAText3 xmlns="4f9c820c-e7e2-444d-97ee-45f2b3485c1d" xsi:nil="true"/>
    <New_x0020_Folder xmlns="97c71325-65b9-4833-a997-d05ab51373a7" xsi:nil="true"/>
    <CategoryName xmlns="4f9c820c-e7e2-444d-97ee-45f2b3485c1d" xsi:nil="true"/>
    <PRADateTrigger xmlns="4f9c820c-e7e2-444d-97ee-45f2b3485c1d" xsi:nil="true"/>
    <Narrative xmlns="4f9c820c-e7e2-444d-97ee-45f2b3485c1d" xsi:nil="true"/>
    <CategoryValue xmlns="97c71325-65b9-4833-a997-d05ab51373a7" xsi:nil="true"/>
    <PRAText2 xmlns="4f9c820c-e7e2-444d-97ee-45f2b3485c1d" xsi:nil="true"/>
    <SharedWithUsers xmlns="89556b2b-49bf-41f0-b603-4ed53ffb05ce">
      <UserInfo>
        <DisplayName>Andrew Barker</DisplayName>
        <AccountId>37</AccountId>
        <AccountType/>
      </UserInfo>
      <UserInfo>
        <DisplayName>Scott Gallacher</DisplayName>
        <AccountId>81</AccountId>
        <AccountType/>
      </UserInfo>
      <UserInfo>
        <DisplayName>Jessica Etschmaier</DisplayName>
        <AccountId>72</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eDocument" ma:contentTypeID="0x0101003578FF9FCE0DDA438D431D1FBBE73B0A0040468CA54A451A4A94CF6EFDD631EE80" ma:contentTypeVersion="42" ma:contentTypeDescription="Create a new document." ma:contentTypeScope="" ma:versionID="dfd31fead91e307dad822e6ac3e29930">
  <xsd:schema xmlns:xsd="http://www.w3.org/2001/XMLSchema" xmlns:xs="http://www.w3.org/2001/XMLSchema" xmlns:p="http://schemas.microsoft.com/office/2006/metadata/properties" xmlns:ns2="9da600a7-27fd-43ea-8cef-f13e8bd432ff" xmlns:ns3="4f9c820c-e7e2-444d-97ee-45f2b3485c1d" xmlns:ns4="97c71325-65b9-4833-a997-d05ab51373a7" xmlns:ns6="cc3c8d93-9f70-45a7-929c-bc05fca4adc9" xmlns:ns7="854aa625-ba1e-492a-b965-8da08c5294ed" xmlns:ns8="89556b2b-49bf-41f0-b603-4ed53ffb05ce" targetNamespace="http://schemas.microsoft.com/office/2006/metadata/properties" ma:root="true" ma:fieldsID="740aff67c904ce35983ea9f3a84bee77" ns2:_="" ns3:_="" ns4:_="" ns6:_="" ns7:_="" ns8:_="">
    <xsd:import namespace="9da600a7-27fd-43ea-8cef-f13e8bd432ff"/>
    <xsd:import namespace="4f9c820c-e7e2-444d-97ee-45f2b3485c1d"/>
    <xsd:import namespace="97c71325-65b9-4833-a997-d05ab51373a7"/>
    <xsd:import namespace="cc3c8d93-9f70-45a7-929c-bc05fca4adc9"/>
    <xsd:import namespace="854aa625-ba1e-492a-b965-8da08c5294ed"/>
    <xsd:import namespace="89556b2b-49bf-41f0-b603-4ed53ffb05ce"/>
    <xsd:element name="properties">
      <xsd:complexType>
        <xsd:sequence>
          <xsd:element name="documentManagement">
            <xsd:complexType>
              <xsd:all>
                <xsd:element ref="ns2:DocumentType" minOccurs="0"/>
                <xsd:element ref="ns3:BusinessValue" minOccurs="0"/>
                <xsd:element ref="ns3:CategoryName" minOccurs="0"/>
                <xsd:element ref="ns4:CategoryValue" minOccurs="0"/>
                <xsd:element ref="ns4:Project" minOccurs="0"/>
                <xsd:element ref="ns3:Case" minOccurs="0"/>
                <xsd:element ref="ns3:PRADate2" minOccurs="0"/>
                <xsd:element ref="ns3:PRADate3" minOccurs="0"/>
                <xsd:element ref="ns3:PRADateDisposal" minOccurs="0"/>
                <xsd:element ref="ns3:PRADateTrigger" minOccurs="0"/>
                <xsd:element ref="ns3:PRAText1" minOccurs="0"/>
                <xsd:element ref="ns3:PRAText2" minOccurs="0"/>
                <xsd:element ref="ns3:PRAText3" minOccurs="0"/>
                <xsd:element ref="ns3:PRAText4" minOccurs="0"/>
                <xsd:element ref="ns3:PRAText5" minOccurs="0"/>
                <xsd:element ref="ns3:PRAType" minOccurs="0"/>
                <xsd:element ref="ns3:PRADate1" minOccurs="0"/>
                <xsd:element ref="ns3:Narrative" minOccurs="0"/>
                <xsd:element ref="ns3:Function" minOccurs="0"/>
                <xsd:element ref="ns2:Year" minOccurs="0"/>
                <xsd:element ref="ns3:Activity" minOccurs="0"/>
                <xsd:element ref="ns3:Subactivity" minOccurs="0"/>
                <xsd:element ref="ns6:Financial_x0020_year" minOccurs="0"/>
                <xsd:element ref="ns4:New_x0020_Folder" minOccurs="0"/>
                <xsd:element ref="ns7:MediaServiceMetadata" minOccurs="0"/>
                <xsd:element ref="ns7:MediaServiceFastMetadata" minOccurs="0"/>
                <xsd:element ref="ns8:SharedWithUsers" minOccurs="0"/>
                <xsd:element ref="ns8:SharedWithDetails" minOccurs="0"/>
                <xsd:element ref="ns7:MediaServiceAutoTags" minOccurs="0"/>
                <xsd:element ref="ns7:MediaServiceGenerationTime" minOccurs="0"/>
                <xsd:element ref="ns7:MediaServiceEventHashCode" minOccurs="0"/>
                <xsd:element ref="ns7:MediaServiceOCR" minOccurs="0"/>
                <xsd:element ref="ns7:MediaServiceAutoKeyPoints" minOccurs="0"/>
                <xsd:element ref="ns7:MediaServiceKeyPoints" minOccurs="0"/>
                <xsd:element ref="ns7:MediaServiceDateTaken" minOccurs="0"/>
                <xsd:element ref="ns7:MediaServiceObjectDetectorVersions" minOccurs="0"/>
                <xsd:element ref="ns7: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a600a7-27fd-43ea-8cef-f13e8bd432ff" elementFormDefault="qualified">
    <xsd:import namespace="http://schemas.microsoft.com/office/2006/documentManagement/types"/>
    <xsd:import namespace="http://schemas.microsoft.com/office/infopath/2007/PartnerControls"/>
    <xsd:element name="DocumentType" ma:index="8" nillable="true" ma:displayName="Document Type" ma:format="Dropdown" ma:internalName="DocumentType" ma:readOnly="false">
      <xsd:simpleType>
        <xsd:restriction base="dms:Choice">
          <xsd:enumeration value="APPLICATION, Certificate, Consent related"/>
          <xsd:enumeration value="CABINET PAPER, Amendment"/>
          <xsd:enumeration value="CONTRACT, Variation, Agreement"/>
          <xsd:enumeration value="CORRESPONDENCE"/>
          <xsd:enumeration value="DATA, Calculation, Working"/>
          <xsd:enumeration value="DRAWING, Plan, Map, Title"/>
          <xsd:enumeration value="EMPLOYMENT related"/>
          <xsd:enumeration value="FINANCIAL related"/>
          <xsd:enumeration value="KNOWLEDGE article"/>
          <xsd:enumeration value="MANUAL, Instruction, FAQ"/>
          <xsd:enumeration value="MINISTERIAL Request, Question"/>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Law, Procedure"/>
          <xsd:enumeration value="SERVICE REQUEST related"/>
          <xsd:enumeration value="SUBMISSION, application, supporting material"/>
          <xsd:enumeration value="SPECIFICATION or standard"/>
          <xsd:enumeration value="SUPPLIER PRODUCT Info"/>
          <xsd:enumeration value="TEMPLATE, Checklist or Form"/>
          <xsd:enumeration value="THIRD PARTY reference material"/>
        </xsd:restriction>
      </xsd:simpleType>
    </xsd:element>
    <xsd:element name="Year" ma:index="28" nillable="true" ma:displayName="Year" ma:format="RadioButtons" ma:hidden="true" ma:internalName="Year" ma:readOnly="false">
      <xsd:simpleType>
        <xsd:restriction base="dms:Choice">
          <xsd:enumeration value="2017"/>
          <xsd:enumeration value="2018"/>
          <xsd:enumeration value="2019"/>
          <xsd:enumeration value="2020"/>
          <xsd:enumeration value="2021"/>
        </xsd:restriction>
      </xsd:simple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BusinessValue" ma:index="9" nillable="true" ma:displayName="Business Value" ma:default="Normal" ma:format="Dropdown" ma:hidden="true" ma:internalName="BusinessValue" ma:readOnly="false">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restriction>
      </xsd:simpleType>
    </xsd:element>
    <xsd:element name="CategoryName" ma:index="10" nillable="true" ma:displayName="CategoryName" ma:format="Dropdown" ma:hidden="true" ma:internalName="CategoryName" ma:readOnly="false">
      <xsd:simpleType>
        <xsd:restriction base="dms:Choice">
          <xsd:enumeration value="Enter Choice #1"/>
          <xsd:enumeration value="Enter Choice #2"/>
          <xsd:enumeration value="Enter Choice #3"/>
        </xsd:restriction>
      </xsd:simpleType>
    </xsd:element>
    <xsd:element name="Case" ma:index="13" nillable="true" ma:displayName="Case" ma:default="NA" ma:hidden="true" ma:internalName="Case" ma:readOnly="false">
      <xsd:simpleType>
        <xsd:restriction base="dms:Text">
          <xsd:maxLength value="255"/>
        </xsd:restriction>
      </xsd:simpleType>
    </xsd:element>
    <xsd:element name="PRADate2" ma:index="14" nillable="true" ma:displayName="PRADate2" ma:format="DateOnly" ma:hidden="true" ma:internalName="PRADate2" ma:readOnly="false">
      <xsd:simpleType>
        <xsd:restriction base="dms:DateTime"/>
      </xsd:simpleType>
    </xsd:element>
    <xsd:element name="PRADate3" ma:index="15" nillable="true" ma:displayName="PRADate3" ma:format="DateOnly" ma:hidden="true" ma:internalName="PRADate3" ma:readOnly="false">
      <xsd:simpleType>
        <xsd:restriction base="dms:DateTime"/>
      </xsd:simpleType>
    </xsd:element>
    <xsd:element name="PRADateDisposal" ma:index="16" nillable="true" ma:displayName="PRADateDisposal" ma:format="DateOnly" ma:hidden="true" ma:internalName="PRADateDisposal" ma:readOnly="false">
      <xsd:simpleType>
        <xsd:restriction base="dms:DateTime"/>
      </xsd:simpleType>
    </xsd:element>
    <xsd:element name="PRADateTrigger" ma:index="17" nillable="true" ma:displayName="PRADateTrigger" ma:format="DateOnly" ma:hidden="true" ma:internalName="PRADateTrigger" ma:readOnly="false">
      <xsd:simpleType>
        <xsd:restriction base="dms:DateTime"/>
      </xsd:simpleType>
    </xsd:element>
    <xsd:element name="PRAText1" ma:index="18" nillable="true" ma:displayName="PRAText1" ma:hidden="true" ma:internalName="PRAText1" ma:readOnly="false">
      <xsd:simpleType>
        <xsd:restriction base="dms:Text">
          <xsd:maxLength value="255"/>
        </xsd:restriction>
      </xsd:simpleType>
    </xsd:element>
    <xsd:element name="PRAText2" ma:index="19" nillable="true" ma:displayName="PRAText2" ma:hidden="true" ma:internalName="PRAText2" ma:readOnly="false">
      <xsd:simpleType>
        <xsd:restriction base="dms:Text">
          <xsd:maxLength value="255"/>
        </xsd:restriction>
      </xsd:simpleType>
    </xsd:element>
    <xsd:element name="PRAText3" ma:index="20" nillable="true" ma:displayName="PRAText3" ma:hidden="true" ma:internalName="PRAText3" ma:readOnly="false">
      <xsd:simpleType>
        <xsd:restriction base="dms:Text">
          <xsd:maxLength value="255"/>
        </xsd:restriction>
      </xsd:simpleType>
    </xsd:element>
    <xsd:element name="PRAText4" ma:index="21" nillable="true" ma:displayName="PRAText4" ma:hidden="true" ma:internalName="PRAText4" ma:readOnly="false">
      <xsd:simpleType>
        <xsd:restriction base="dms:Text">
          <xsd:maxLength value="255"/>
        </xsd:restriction>
      </xsd:simpleType>
    </xsd:element>
    <xsd:element name="PRAText5" ma:index="22" nillable="true" ma:displayName="PRAText5" ma:hidden="true" ma:internalName="PRAText5" ma:readOnly="false">
      <xsd:simpleType>
        <xsd:restriction base="dms:Text">
          <xsd:maxLength value="255"/>
        </xsd:restriction>
      </xsd:simpleType>
    </xsd:element>
    <xsd:element name="PRAType" ma:index="24" nillable="true" ma:displayName="PRAType" ma:default="Doc" ma:hidden="true" ma:internalName="PRAType" ma:readOnly="false">
      <xsd:simpleType>
        <xsd:restriction base="dms:Text">
          <xsd:maxLength value="255"/>
        </xsd:restriction>
      </xsd:simpleType>
    </xsd:element>
    <xsd:element name="PRADate1" ma:index="25" nillable="true" ma:displayName="PRADate1" ma:format="DateOnly" ma:hidden="true" ma:internalName="PRADate1" ma:readOnly="false">
      <xsd:simpleType>
        <xsd:restriction base="dms:DateTime"/>
      </xsd:simpleType>
    </xsd:element>
    <xsd:element name="Narrative" ma:index="26" nillable="true" ma:displayName="Narrative" ma:hidden="true" ma:internalName="Narrative" ma:readOnly="false">
      <xsd:simpleType>
        <xsd:restriction base="dms:Note"/>
      </xsd:simpleType>
    </xsd:element>
    <xsd:element name="Function" ma:index="27" nillable="true" ma:displayName="Function" ma:default="Funding &amp; Programme Delivery" ma:hidden="true" ma:internalName="Function" ma:readOnly="false">
      <xsd:simpleType>
        <xsd:restriction base="dms:Text">
          <xsd:maxLength value="255"/>
        </xsd:restriction>
      </xsd:simpleType>
    </xsd:element>
    <xsd:element name="Activity" ma:index="29" nillable="true" ma:displayName="Activity" ma:default="Services &amp; Supply" ma:hidden="true" ma:internalName="Activity" ma:readOnly="false">
      <xsd:simpleType>
        <xsd:restriction base="dms:Text">
          <xsd:maxLength value="255"/>
        </xsd:restriction>
      </xsd:simpleType>
    </xsd:element>
    <xsd:element name="Subactivity" ma:index="30" nillable="true" ma:displayName="Subactivity" ma:default="Procurement" ma:hidden="true" ma:internalName="Sub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c71325-65b9-4833-a997-d05ab51373a7" elementFormDefault="qualified">
    <xsd:import namespace="http://schemas.microsoft.com/office/2006/documentManagement/types"/>
    <xsd:import namespace="http://schemas.microsoft.com/office/infopath/2007/PartnerControls"/>
    <xsd:element name="CategoryValue" ma:index="11" nillable="true" ma:displayName="CategoryValue" ma:format="Dropdown" ma:hidden="true" ma:internalName="CategoryValue" ma:readOnly="false">
      <xsd:simpleType>
        <xsd:restriction base="dms:Choice">
          <xsd:enumeration value="Enter Choice #1"/>
          <xsd:enumeration value="Enter Choice #2"/>
          <xsd:enumeration value="Enter Choice #3"/>
        </xsd:restriction>
      </xsd:simpleType>
    </xsd:element>
    <xsd:element name="Project" ma:index="12" nillable="true" ma:displayName="Project" ma:hidden="true" ma:internalName="Project" ma:readOnly="false">
      <xsd:simpleType>
        <xsd:restriction base="dms:Text">
          <xsd:maxLength value="255"/>
        </xsd:restriction>
      </xsd:simpleType>
    </xsd:element>
    <xsd:element name="New_x0020_Folder" ma:index="32" nillable="true" ma:displayName="Topic" ma:internalName="New_x0020_Folder"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c3c8d93-9f70-45a7-929c-bc05fca4adc9" elementFormDefault="qualified">
    <xsd:import namespace="http://schemas.microsoft.com/office/2006/documentManagement/types"/>
    <xsd:import namespace="http://schemas.microsoft.com/office/infopath/2007/PartnerControls"/>
    <xsd:element name="Financial_x0020_year" ma:index="31" nillable="true" ma:displayName="Financial year" ma:default="2019/20" ma:description="document mgmt. metadata - fiscal year reference" ma:format="Dropdown" ma:internalName="Financial_x0020_year" ma:readOnly="false">
      <xsd:simpleType>
        <xsd:restriction base="dms:Choice">
          <xsd:enumeration value="2016/17"/>
          <xsd:enumeration value="2017/18"/>
          <xsd:enumeration value="2018/19"/>
          <xsd:enumeration value="2019/20"/>
          <xsd:enumeration value="2020/21"/>
          <xsd:enumeration value="2021/22"/>
          <xsd:enumeration value="2022/23"/>
          <xsd:enumeration value="2023/24"/>
        </xsd:restriction>
      </xsd:simpleType>
    </xsd:element>
  </xsd:schema>
  <xsd:schema xmlns:xsd="http://www.w3.org/2001/XMLSchema" xmlns:xs="http://www.w3.org/2001/XMLSchema" xmlns:dms="http://schemas.microsoft.com/office/2006/documentManagement/types" xmlns:pc="http://schemas.microsoft.com/office/infopath/2007/PartnerControls" targetNamespace="854aa625-ba1e-492a-b965-8da08c5294ed" elementFormDefault="qualified">
    <xsd:import namespace="http://schemas.microsoft.com/office/2006/documentManagement/types"/>
    <xsd:import namespace="http://schemas.microsoft.com/office/infopath/2007/PartnerControls"/>
    <xsd:element name="MediaServiceMetadata" ma:index="33" nillable="true" ma:displayName="MediaServiceMetadata" ma:hidden="true" ma:internalName="MediaServiceMetadata" ma:readOnly="true">
      <xsd:simpleType>
        <xsd:restriction base="dms:Note"/>
      </xsd:simpleType>
    </xsd:element>
    <xsd:element name="MediaServiceFastMetadata" ma:index="34" nillable="true" ma:displayName="MediaServiceFastMetadata" ma:hidden="true" ma:internalName="MediaServiceFastMetadata" ma:readOnly="true">
      <xsd:simpleType>
        <xsd:restriction base="dms:Note"/>
      </xsd:simpleType>
    </xsd:element>
    <xsd:element name="MediaServiceAutoTags" ma:index="37" nillable="true" ma:displayName="Tags" ma:internalName="MediaServiceAutoTags" ma:readOnly="true">
      <xsd:simpleType>
        <xsd:restriction base="dms:Text"/>
      </xsd:simpleType>
    </xsd:element>
    <xsd:element name="MediaServiceGenerationTime" ma:index="38" nillable="true" ma:displayName="MediaServiceGenerationTime" ma:hidden="true" ma:internalName="MediaServiceGenerationTime" ma:readOnly="true">
      <xsd:simpleType>
        <xsd:restriction base="dms:Text"/>
      </xsd:simpleType>
    </xsd:element>
    <xsd:element name="MediaServiceEventHashCode" ma:index="39" nillable="true" ma:displayName="MediaServiceEventHashCode" ma:hidden="true" ma:internalName="MediaServiceEventHashCode" ma:readOnly="true">
      <xsd:simpleType>
        <xsd:restriction base="dms:Text"/>
      </xsd:simpleType>
    </xsd:element>
    <xsd:element name="MediaServiceOCR" ma:index="40" nillable="true" ma:displayName="Extracted Text" ma:internalName="MediaServiceOCR" ma:readOnly="true">
      <xsd:simpleType>
        <xsd:restriction base="dms:Note">
          <xsd:maxLength value="255"/>
        </xsd:restriction>
      </xsd:simpleType>
    </xsd:element>
    <xsd:element name="MediaServiceAutoKeyPoints" ma:index="41" nillable="true" ma:displayName="MediaServiceAutoKeyPoints" ma:hidden="true" ma:internalName="MediaServiceAutoKeyPoints" ma:readOnly="true">
      <xsd:simpleType>
        <xsd:restriction base="dms:Note"/>
      </xsd:simpleType>
    </xsd:element>
    <xsd:element name="MediaServiceKeyPoints" ma:index="42" nillable="true" ma:displayName="KeyPoints" ma:internalName="MediaServiceKeyPoints" ma:readOnly="true">
      <xsd:simpleType>
        <xsd:restriction base="dms:Note">
          <xsd:maxLength value="255"/>
        </xsd:restriction>
      </xsd:simpleType>
    </xsd:element>
    <xsd:element name="MediaServiceDateTaken" ma:index="43" nillable="true" ma:displayName="MediaServiceDateTaken" ma:hidden="true" ma:internalName="MediaServiceDateTaken" ma:readOnly="true">
      <xsd:simpleType>
        <xsd:restriction base="dms:Text"/>
      </xsd:simpleType>
    </xsd:element>
    <xsd:element name="MediaServiceObjectDetectorVersions" ma:index="44" nillable="true" ma:displayName="MediaServiceObjectDetectorVersions" ma:hidden="true" ma:indexed="true" ma:internalName="MediaServiceObjectDetectorVersions" ma:readOnly="true">
      <xsd:simpleType>
        <xsd:restriction base="dms:Text"/>
      </xsd:simpleType>
    </xsd:element>
    <xsd:element name="MediaServiceSearchProperties" ma:index="4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556b2b-49bf-41f0-b603-4ed53ffb05ce" elementFormDefault="qualified">
    <xsd:import namespace="http://schemas.microsoft.com/office/2006/documentManagement/types"/>
    <xsd:import namespace="http://schemas.microsoft.com/office/infopath/2007/PartnerControls"/>
    <xsd:element name="SharedWithUsers" ma:index="3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37FCDC-BD20-42A9-8ACE-F9A40B6823A5}">
  <ds:schemaRefs>
    <ds:schemaRef ds:uri="http://schemas.microsoft.com/sharepoint/events"/>
  </ds:schemaRefs>
</ds:datastoreItem>
</file>

<file path=customXml/itemProps2.xml><?xml version="1.0" encoding="utf-8"?>
<ds:datastoreItem xmlns:ds="http://schemas.openxmlformats.org/officeDocument/2006/customXml" ds:itemID="{93D960D7-FDB9-4890-9BD9-02DB5E098A6F}">
  <ds:schemaRefs>
    <ds:schemaRef ds:uri="http://schemas.microsoft.com/sharepoint/v3/contenttype/forms"/>
  </ds:schemaRefs>
</ds:datastoreItem>
</file>

<file path=customXml/itemProps3.xml><?xml version="1.0" encoding="utf-8"?>
<ds:datastoreItem xmlns:ds="http://schemas.openxmlformats.org/officeDocument/2006/customXml" ds:itemID="{8DDA590E-503A-4959-8345-7B344F94FC24}">
  <ds:schemaRefs>
    <ds:schemaRef ds:uri="http://www.w3.org/XML/1998/namespace"/>
    <ds:schemaRef ds:uri="4f9c820c-e7e2-444d-97ee-45f2b3485c1d"/>
    <ds:schemaRef ds:uri="http://schemas.microsoft.com/office/2006/documentManagement/types"/>
    <ds:schemaRef ds:uri="http://schemas.microsoft.com/office/2006/metadata/properties"/>
    <ds:schemaRef ds:uri="http://purl.org/dc/elements/1.1/"/>
    <ds:schemaRef ds:uri="http://schemas.microsoft.com/office/infopath/2007/PartnerControls"/>
    <ds:schemaRef ds:uri="e663292b-12b9-475a-966c-4b1893c6e6b2"/>
    <ds:schemaRef ds:uri="http://purl.org/dc/terms/"/>
    <ds:schemaRef ds:uri="fbee7db1-39a9-4d63-99d6-c12ee98d8bc8"/>
    <ds:schemaRef ds:uri="http://schemas.openxmlformats.org/package/2006/metadata/core-properties"/>
    <ds:schemaRef ds:uri="97c71325-65b9-4833-a997-d05ab51373a7"/>
    <ds:schemaRef ds:uri="cc3c8d93-9f70-45a7-929c-bc05fca4adc9"/>
    <ds:schemaRef ds:uri="9da600a7-27fd-43ea-8cef-f13e8bd432ff"/>
    <ds:schemaRef ds:uri="http://purl.org/dc/dcmitype/"/>
  </ds:schemaRefs>
</ds:datastoreItem>
</file>

<file path=customXml/itemProps4.xml><?xml version="1.0" encoding="utf-8"?>
<ds:datastoreItem xmlns:ds="http://schemas.openxmlformats.org/officeDocument/2006/customXml" ds:itemID="{442A0A76-B1C4-4666-B047-A2B5768EB166}"/>
</file>

<file path=docMetadata/LabelInfo.xml><?xml version="1.0" encoding="utf-8"?>
<clbl:labelList xmlns:clbl="http://schemas.microsoft.com/office/2020/mipLabelMetadata">
  <clbl:label id="{49120112-3b8d-44c1-bb35-0efb412dca25}" enabled="1" method="Privileged" siteId="{9e9b3020-3d38-48a6-9064-373bc7b156dc}"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Disclaimer</vt:lpstr>
      <vt:lpstr>Introduction</vt:lpstr>
      <vt:lpstr>Build-to-Lease OS Calculator</vt:lpstr>
      <vt:lpstr>TM Cost Calculator</vt:lpstr>
      <vt:lpstr>Memo Table</vt:lpstr>
      <vt:lpstr>WOL</vt:lpstr>
      <vt:lpstr>IRR</vt:lpstr>
    </vt:vector>
  </TitlesOfParts>
  <Manager/>
  <Company>Ministry of Social Development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Guy Brocklehurst</dc:creator>
  <cp:keywords/>
  <dc:description/>
  <cp:lastModifiedBy>Tracy De La Bat</cp:lastModifiedBy>
  <cp:revision/>
  <dcterms:created xsi:type="dcterms:W3CDTF">2018-05-10T00:11:17Z</dcterms:created>
  <dcterms:modified xsi:type="dcterms:W3CDTF">2025-02-11T21:39:12Z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0x0101003578FF9FCE0DDA438D431D1FBBE73B0A0040468CA54A451A4A94CF6EFDD631EE80</vt:lpwstr>
  </property>
  <property fmtid="{D5CDD505-2E9C-101B-9397-08002B2CF9AE}" pid="3" name="_dlc_DocId">
    <vt:lpwstr>6M4MRKPXZU3A-319988628-41770</vt:lpwstr>
  </property>
  <property fmtid="{D5CDD505-2E9C-101B-9397-08002B2CF9AE}" pid="4" name="_dlc_DocIdItemGuid">
    <vt:lpwstr>e5a70dce-6c3f-410f-a305-828773696af9</vt:lpwstr>
  </property>
  <property fmtid="{D5CDD505-2E9C-101B-9397-08002B2CF9AE}" pid="5" name="_dlc_DocIdUrl">
    <vt:lpwstr>https://mhud.sharepoint.com/sites/services/_layouts/15/DocIdRedir.aspx?ID=6M4MRKPXZU3A-319988628-41770, 6M4MRKPXZU3A-319988628-41770</vt:lpwstr>
  </property>
  <property fmtid="{D5CDD505-2E9C-101B-9397-08002B2CF9AE}" pid="6" name="MSIP_Label_14c3db6d-cfd0-4832-972f-4b6726d3a31d_Enabled">
    <vt:lpwstr>true</vt:lpwstr>
  </property>
  <property fmtid="{D5CDD505-2E9C-101B-9397-08002B2CF9AE}" pid="7" name="MSIP_Label_14c3db6d-cfd0-4832-972f-4b6726d3a31d_SetDate">
    <vt:lpwstr>2021-12-07T03:07:46Z</vt:lpwstr>
  </property>
  <property fmtid="{D5CDD505-2E9C-101B-9397-08002B2CF9AE}" pid="8" name="MSIP_Label_14c3db6d-cfd0-4832-972f-4b6726d3a31d_Method">
    <vt:lpwstr>Privileged</vt:lpwstr>
  </property>
  <property fmtid="{D5CDD505-2E9C-101B-9397-08002B2CF9AE}" pid="9" name="MSIP_Label_14c3db6d-cfd0-4832-972f-4b6726d3a31d_Name">
    <vt:lpwstr>14c3db6d-cfd0-4832-972f-4b6726d3a31d</vt:lpwstr>
  </property>
  <property fmtid="{D5CDD505-2E9C-101B-9397-08002B2CF9AE}" pid="10" name="MSIP_Label_14c3db6d-cfd0-4832-972f-4b6726d3a31d_SiteId">
    <vt:lpwstr>9e9b3020-3d38-48a6-9064-373bc7b156dc</vt:lpwstr>
  </property>
  <property fmtid="{D5CDD505-2E9C-101B-9397-08002B2CF9AE}" pid="11" name="MSIP_Label_14c3db6d-cfd0-4832-972f-4b6726d3a31d_ActionId">
    <vt:lpwstr>176fac65-2e04-4593-98de-9ce03125e31b</vt:lpwstr>
  </property>
  <property fmtid="{D5CDD505-2E9C-101B-9397-08002B2CF9AE}" pid="12" name="MSIP_Label_14c3db6d-cfd0-4832-972f-4b6726d3a31d_ContentBits">
    <vt:lpwstr>2</vt:lpwstr>
  </property>
  <property fmtid="{D5CDD505-2E9C-101B-9397-08002B2CF9AE}" pid="13" name="MediaServiceImageTags">
    <vt:lpwstr/>
  </property>
  <property fmtid="{D5CDD505-2E9C-101B-9397-08002B2CF9AE}" pid="14" name="OriginalSubject">
    <vt:lpwstr/>
  </property>
  <property fmtid="{D5CDD505-2E9C-101B-9397-08002B2CF9AE}" pid="15" name="Order">
    <vt:r8>4126400</vt:r8>
  </property>
  <property fmtid="{D5CDD505-2E9C-101B-9397-08002B2CF9AE}" pid="16" name="From1">
    <vt:lpwstr/>
  </property>
  <property fmtid="{D5CDD505-2E9C-101B-9397-08002B2CF9AE}" pid="17" name="xd_ProgID">
    <vt:lpwstr/>
  </property>
  <property fmtid="{D5CDD505-2E9C-101B-9397-08002B2CF9AE}" pid="18" name="_SourceUrl">
    <vt:lpwstr/>
  </property>
  <property fmtid="{D5CDD505-2E9C-101B-9397-08002B2CF9AE}" pid="19" name="_SharedFileIndex">
    <vt:lpwstr/>
  </property>
  <property fmtid="{D5CDD505-2E9C-101B-9397-08002B2CF9AE}" pid="20" name="ComplianceAssetId">
    <vt:lpwstr/>
  </property>
  <property fmtid="{D5CDD505-2E9C-101B-9397-08002B2CF9AE}" pid="21" name="TemplateUrl">
    <vt:lpwstr/>
  </property>
  <property fmtid="{D5CDD505-2E9C-101B-9397-08002B2CF9AE}" pid="22" name="To">
    <vt:lpwstr/>
  </property>
  <property fmtid="{D5CDD505-2E9C-101B-9397-08002B2CF9AE}" pid="24" name="_ExtendedDescription">
    <vt:lpwstr/>
  </property>
  <property fmtid="{D5CDD505-2E9C-101B-9397-08002B2CF9AE}" pid="25" name="TriggerFlowInfo">
    <vt:lpwstr/>
  </property>
  <property fmtid="{D5CDD505-2E9C-101B-9397-08002B2CF9AE}" pid="27" name="xd_Signature">
    <vt:bool>false</vt:bool>
  </property>
</Properties>
</file>