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updateLinks="always" codeName="ThisWorkbook"/>
  <mc:AlternateContent xmlns:mc="http://schemas.openxmlformats.org/markup-compatibility/2006">
    <mc:Choice Requires="x15">
      <x15ac:absPath xmlns:x15ac="http://schemas.microsoft.com/office/spreadsheetml/2010/11/ac" url="https://thepropertygrouplimited.sharepoint.com/sites/operations/Property/MHUD-MIN005/717557 - MHUD, Progressive home ownership advice/7. Updated Models/"/>
    </mc:Choice>
  </mc:AlternateContent>
  <xr:revisionPtr revIDLastSave="3" documentId="8_{D6CE72E0-2D09-49B4-97EE-CBF1104892F2}" xr6:coauthVersionLast="47" xr6:coauthVersionMax="47" xr10:uidLastSave="{190A0C66-B5F6-4584-AED2-BBDB7570B577}"/>
  <workbookProtection workbookAlgorithmName="SHA-512" workbookHashValue="pCkAqHErQf8FadYBtyTW5kUmQ0nlaJaSo0fbTwCzsPzOEDgoWGUd0Z3VtJA8fPr++KVGK+xI+/jXPbj73GkUwA==" workbookSaltValue="B7+dx1INMv9fggihJNWEUw==" workbookSpinCount="100000" lockStructure="1"/>
  <bookViews>
    <workbookView xWindow="-120" yWindow="-120" windowWidth="29040" windowHeight="15840" firstSheet="1" activeTab="1" xr2:uid="{7CD9C1A5-C9DE-465D-A157-691B39BFAC5B}"/>
  </bookViews>
  <sheets>
    <sheet name="Landing Page" sheetId="1" r:id="rId1"/>
    <sheet name="AHM - Leasehold" sheetId="14" r:id="rId2"/>
    <sheet name="Preliminary Feasibility" sheetId="13" r:id="rId3"/>
    <sheet name="Detailed Feasibility Inputs" sheetId="15" r:id="rId4"/>
    <sheet name="Detailed Feasibility" sheetId="16" r:id="rId5"/>
    <sheet name="Codes" sheetId="17" r:id="rId6"/>
  </sheets>
  <definedNames>
    <definedName name="payment_number">#REF!</definedName>
  </definedNames>
  <calcPr calcId="191029"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8" i="16" l="1"/>
  <c r="D97" i="16"/>
  <c r="D96" i="16"/>
  <c r="D95" i="16"/>
  <c r="D94" i="16"/>
  <c r="D93" i="16"/>
  <c r="M131" i="16"/>
  <c r="H134" i="16"/>
  <c r="I134" i="16"/>
  <c r="J134" i="16"/>
  <c r="K134" i="16"/>
  <c r="L134" i="16"/>
  <c r="Y134" i="16"/>
  <c r="Z134" i="16"/>
  <c r="AA134" i="16"/>
  <c r="AB134" i="16"/>
  <c r="AC134" i="16"/>
  <c r="AD134" i="16"/>
  <c r="AE134" i="16"/>
  <c r="AF134" i="16"/>
  <c r="AG134" i="16"/>
  <c r="AH134" i="16"/>
  <c r="AI134" i="16"/>
  <c r="AJ134" i="16"/>
  <c r="AK134" i="16"/>
  <c r="AL134" i="16"/>
  <c r="AM134" i="16"/>
  <c r="AN134" i="16"/>
  <c r="AO134" i="16"/>
  <c r="AP134" i="16"/>
  <c r="AQ134" i="16"/>
  <c r="AR134" i="16"/>
  <c r="AS134" i="16"/>
  <c r="AT134" i="16"/>
  <c r="AU134" i="16"/>
  <c r="AV134" i="16"/>
  <c r="AW134" i="16"/>
  <c r="AX134" i="16"/>
  <c r="AY134" i="16"/>
  <c r="AZ134" i="16"/>
  <c r="BA134" i="16"/>
  <c r="BB134" i="16"/>
  <c r="BC134" i="16"/>
  <c r="BD134" i="16"/>
  <c r="BE134" i="16"/>
  <c r="BF134" i="16"/>
  <c r="BG134" i="16"/>
  <c r="BH134" i="16"/>
  <c r="BI134" i="16"/>
  <c r="BJ134" i="16"/>
  <c r="BK134" i="16"/>
  <c r="BL134" i="16"/>
  <c r="BM134" i="16"/>
  <c r="G134" i="16"/>
  <c r="F134" i="16"/>
  <c r="M148" i="16"/>
  <c r="G148" i="16"/>
  <c r="F148" i="16"/>
  <c r="J98" i="16"/>
  <c r="J97" i="16"/>
  <c r="J92" i="16"/>
  <c r="I92" i="16"/>
  <c r="G92" i="16"/>
  <c r="H92" i="16"/>
  <c r="H98" i="16"/>
  <c r="H97" i="16"/>
  <c r="G31" i="13"/>
  <c r="C117" i="14"/>
  <c r="J22" i="14"/>
  <c r="M41" i="15"/>
  <c r="E53" i="15"/>
  <c r="H47" i="13" l="1"/>
  <c r="H45" i="13"/>
  <c r="H53" i="13"/>
  <c r="H48" i="13"/>
  <c r="H52" i="13" l="1"/>
  <c r="G22" i="13"/>
  <c r="G21" i="13"/>
  <c r="D24" i="13"/>
  <c r="H58" i="13" s="1"/>
  <c r="G20" i="13"/>
  <c r="H59" i="13" l="1"/>
  <c r="C41" i="15"/>
  <c r="C42" i="15"/>
  <c r="C43" i="15"/>
  <c r="C44" i="15"/>
  <c r="C45" i="15"/>
  <c r="C46" i="15"/>
  <c r="B98" i="16"/>
  <c r="B124" i="16" s="1"/>
  <c r="B97" i="16"/>
  <c r="B123" i="16" s="1"/>
  <c r="B96" i="16"/>
  <c r="B122" i="16" s="1"/>
  <c r="B95" i="16"/>
  <c r="B121" i="16" s="1"/>
  <c r="B94" i="16"/>
  <c r="B120" i="16" s="1"/>
  <c r="B93" i="16"/>
  <c r="B119" i="16" s="1"/>
  <c r="D129" i="16" l="1"/>
  <c r="D50" i="16"/>
  <c r="F25" i="14" l="1"/>
  <c r="F28" i="14"/>
  <c r="F27" i="14"/>
  <c r="F26" i="14"/>
  <c r="C58" i="15" l="1"/>
  <c r="C57" i="15"/>
  <c r="C56" i="15"/>
  <c r="C55" i="15"/>
  <c r="C53" i="15"/>
  <c r="E32" i="14"/>
  <c r="J23" i="14"/>
  <c r="E120" i="14"/>
  <c r="F120" i="14" s="1"/>
  <c r="G120" i="14" s="1"/>
  <c r="H120" i="14" s="1"/>
  <c r="I120" i="14" s="1"/>
  <c r="J120" i="14" s="1"/>
  <c r="K120" i="14" s="1"/>
  <c r="L120" i="14" s="1"/>
  <c r="M120" i="14" s="1"/>
  <c r="N120" i="14" s="1"/>
  <c r="O120" i="14" s="1"/>
  <c r="P120" i="14" s="1"/>
  <c r="Q120" i="14" s="1"/>
  <c r="R120" i="14" s="1"/>
  <c r="S120" i="14" s="1"/>
  <c r="T120" i="14" s="1"/>
  <c r="G116" i="14"/>
  <c r="H116" i="14"/>
  <c r="I116" i="14"/>
  <c r="J116" i="14"/>
  <c r="K116" i="14"/>
  <c r="L116" i="14"/>
  <c r="M116" i="14"/>
  <c r="N116" i="14"/>
  <c r="O116" i="14"/>
  <c r="P116" i="14"/>
  <c r="Q116" i="14"/>
  <c r="R116" i="14"/>
  <c r="S116" i="14"/>
  <c r="T116" i="14"/>
  <c r="F116" i="14"/>
  <c r="E116" i="14"/>
  <c r="C36" i="14"/>
  <c r="M42" i="15"/>
  <c r="M43" i="15"/>
  <c r="M44" i="15"/>
  <c r="M45" i="15"/>
  <c r="M46" i="15"/>
  <c r="Q85" i="16"/>
  <c r="P64" i="16"/>
  <c r="K42" i="15"/>
  <c r="K43" i="15"/>
  <c r="K44" i="15"/>
  <c r="K45" i="15"/>
  <c r="K46" i="15"/>
  <c r="K41" i="15"/>
  <c r="C54" i="15" l="1"/>
  <c r="D120" i="16"/>
  <c r="N42" i="15"/>
  <c r="C94" i="16"/>
  <c r="N43" i="15"/>
  <c r="D121" i="16"/>
  <c r="C95" i="16"/>
  <c r="N44" i="15"/>
  <c r="D122" i="16"/>
  <c r="C96" i="16"/>
  <c r="N41" i="15"/>
  <c r="D119" i="16"/>
  <c r="C93" i="16"/>
  <c r="N45" i="15"/>
  <c r="C97" i="16"/>
  <c r="D123" i="16"/>
  <c r="N46" i="15"/>
  <c r="C98" i="16"/>
  <c r="F98" i="16" s="1"/>
  <c r="K98" i="16" s="1"/>
  <c r="D124" i="16"/>
  <c r="F97" i="16" l="1"/>
  <c r="K97" i="16" s="1"/>
  <c r="D125" i="16"/>
  <c r="D126" i="16" s="1"/>
  <c r="AD47" i="17"/>
  <c r="AC47" i="17"/>
  <c r="AB47" i="17"/>
  <c r="AA47" i="17"/>
  <c r="Z47" i="17"/>
  <c r="Y47" i="17"/>
  <c r="X47" i="17"/>
  <c r="W47" i="17"/>
  <c r="V47" i="17"/>
  <c r="U47" i="17"/>
  <c r="T47" i="17"/>
  <c r="S47" i="17"/>
  <c r="R47" i="17"/>
  <c r="Q47" i="17"/>
  <c r="P47" i="17"/>
  <c r="O47" i="17"/>
  <c r="N47" i="17"/>
  <c r="AD46" i="17"/>
  <c r="AC46" i="17"/>
  <c r="AB46" i="17"/>
  <c r="AA46" i="17"/>
  <c r="Z46" i="17"/>
  <c r="Y46" i="17"/>
  <c r="X46" i="17"/>
  <c r="W46" i="17"/>
  <c r="V46" i="17"/>
  <c r="U46" i="17"/>
  <c r="T46" i="17"/>
  <c r="S46" i="17"/>
  <c r="R46" i="17"/>
  <c r="Q46" i="17"/>
  <c r="P46" i="17"/>
  <c r="O46" i="17"/>
  <c r="N46" i="17"/>
  <c r="AD45" i="17"/>
  <c r="AC45" i="17"/>
  <c r="AB45" i="17"/>
  <c r="AA45" i="17"/>
  <c r="Z45" i="17"/>
  <c r="Y45" i="17"/>
  <c r="X45" i="17"/>
  <c r="W45" i="17"/>
  <c r="V45" i="17"/>
  <c r="U45" i="17"/>
  <c r="T45" i="17"/>
  <c r="S45" i="17"/>
  <c r="R45" i="17"/>
  <c r="Q45" i="17"/>
  <c r="P45" i="17"/>
  <c r="O45" i="17"/>
  <c r="N45" i="17"/>
  <c r="AD44" i="17"/>
  <c r="AC44" i="17"/>
  <c r="AB44" i="17"/>
  <c r="AA44" i="17"/>
  <c r="Z44" i="17"/>
  <c r="Y44" i="17"/>
  <c r="X44" i="17"/>
  <c r="W44" i="17"/>
  <c r="V44" i="17"/>
  <c r="U44" i="17"/>
  <c r="T44" i="17"/>
  <c r="S44" i="17"/>
  <c r="R44" i="17"/>
  <c r="Q44" i="17"/>
  <c r="P44" i="17"/>
  <c r="O44" i="17"/>
  <c r="N44" i="17"/>
  <c r="AD43" i="17"/>
  <c r="AC43" i="17"/>
  <c r="AB43" i="17"/>
  <c r="AA43" i="17"/>
  <c r="Z43" i="17"/>
  <c r="Y43" i="17"/>
  <c r="X43" i="17"/>
  <c r="W43" i="17"/>
  <c r="V43" i="17"/>
  <c r="U43" i="17"/>
  <c r="T43" i="17"/>
  <c r="S43" i="17"/>
  <c r="R43" i="17"/>
  <c r="Q43" i="17"/>
  <c r="P43" i="17"/>
  <c r="O43" i="17"/>
  <c r="N43" i="17"/>
  <c r="AD42" i="17"/>
  <c r="AC42" i="17"/>
  <c r="AB42" i="17"/>
  <c r="AA42" i="17"/>
  <c r="Z42" i="17"/>
  <c r="Y42" i="17"/>
  <c r="X42" i="17"/>
  <c r="W42" i="17"/>
  <c r="V42" i="17"/>
  <c r="U42" i="17"/>
  <c r="T42" i="17"/>
  <c r="S42" i="17"/>
  <c r="R42" i="17"/>
  <c r="Q42" i="17"/>
  <c r="P42" i="17"/>
  <c r="O42" i="17"/>
  <c r="N42" i="17"/>
  <c r="AD41" i="17"/>
  <c r="AC41" i="17"/>
  <c r="AB41" i="17"/>
  <c r="AA41" i="17"/>
  <c r="Z41" i="17"/>
  <c r="Y41" i="17"/>
  <c r="X41" i="17"/>
  <c r="W41" i="17"/>
  <c r="V41" i="17"/>
  <c r="U41" i="17"/>
  <c r="T41" i="17"/>
  <c r="S41" i="17"/>
  <c r="R41" i="17"/>
  <c r="Q41" i="17"/>
  <c r="P41" i="17"/>
  <c r="O41" i="17"/>
  <c r="N41" i="17"/>
  <c r="AD40" i="17"/>
  <c r="AC40" i="17"/>
  <c r="AB40" i="17"/>
  <c r="AA40" i="17"/>
  <c r="Z40" i="17"/>
  <c r="Y40" i="17"/>
  <c r="X40" i="17"/>
  <c r="W40" i="17"/>
  <c r="V40" i="17"/>
  <c r="U40" i="17"/>
  <c r="T40" i="17"/>
  <c r="S40" i="17"/>
  <c r="R40" i="17"/>
  <c r="Q40" i="17"/>
  <c r="P40" i="17"/>
  <c r="O40" i="17"/>
  <c r="N40" i="17"/>
  <c r="AD39" i="17"/>
  <c r="AC39" i="17"/>
  <c r="AB39" i="17"/>
  <c r="AA39" i="17"/>
  <c r="Z39" i="17"/>
  <c r="Y39" i="17"/>
  <c r="X39" i="17"/>
  <c r="W39" i="17"/>
  <c r="V39" i="17"/>
  <c r="U39" i="17"/>
  <c r="T39" i="17"/>
  <c r="S39" i="17"/>
  <c r="R39" i="17"/>
  <c r="Q39" i="17"/>
  <c r="P39" i="17"/>
  <c r="O39" i="17"/>
  <c r="N39" i="17"/>
  <c r="AD38" i="17"/>
  <c r="AC38" i="17"/>
  <c r="AB38" i="17"/>
  <c r="AA38" i="17"/>
  <c r="Z38" i="17"/>
  <c r="Y38" i="17"/>
  <c r="X38" i="17"/>
  <c r="W38" i="17"/>
  <c r="V38" i="17"/>
  <c r="U38" i="17"/>
  <c r="T38" i="17"/>
  <c r="S38" i="17"/>
  <c r="R38" i="17"/>
  <c r="Q38" i="17"/>
  <c r="P38" i="17"/>
  <c r="O38" i="17"/>
  <c r="N38" i="17"/>
  <c r="AD37" i="17"/>
  <c r="AC37" i="17"/>
  <c r="AB37" i="17"/>
  <c r="AA37" i="17"/>
  <c r="Z37" i="17"/>
  <c r="Y37" i="17"/>
  <c r="X37" i="17"/>
  <c r="W37" i="17"/>
  <c r="V37" i="17"/>
  <c r="U37" i="17"/>
  <c r="T37" i="17"/>
  <c r="S37" i="17"/>
  <c r="R37" i="17"/>
  <c r="Q37" i="17"/>
  <c r="P37" i="17"/>
  <c r="O37" i="17"/>
  <c r="N37" i="17"/>
  <c r="AD36" i="17"/>
  <c r="AC36" i="17"/>
  <c r="AB36" i="17"/>
  <c r="AA36" i="17"/>
  <c r="Z36" i="17"/>
  <c r="Y36" i="17"/>
  <c r="X36" i="17"/>
  <c r="W36" i="17"/>
  <c r="V36" i="17"/>
  <c r="U36" i="17"/>
  <c r="T36" i="17"/>
  <c r="S36" i="17"/>
  <c r="R36" i="17"/>
  <c r="Q36" i="17"/>
  <c r="P36" i="17"/>
  <c r="O36" i="17"/>
  <c r="N36" i="17"/>
  <c r="AD35" i="17"/>
  <c r="AC35" i="17"/>
  <c r="AB35" i="17"/>
  <c r="AA35" i="17"/>
  <c r="Z35" i="17"/>
  <c r="Y35" i="17"/>
  <c r="X35" i="17"/>
  <c r="W35" i="17"/>
  <c r="V35" i="17"/>
  <c r="U35" i="17"/>
  <c r="T35" i="17"/>
  <c r="S35" i="17"/>
  <c r="R35" i="17"/>
  <c r="Q35" i="17"/>
  <c r="P35" i="17"/>
  <c r="O35" i="17"/>
  <c r="N35" i="17"/>
  <c r="AD34" i="17"/>
  <c r="AC34" i="17"/>
  <c r="AB34" i="17"/>
  <c r="AA34" i="17"/>
  <c r="Z34" i="17"/>
  <c r="Y34" i="17"/>
  <c r="X34" i="17"/>
  <c r="W34" i="17"/>
  <c r="V34" i="17"/>
  <c r="U34" i="17"/>
  <c r="T34" i="17"/>
  <c r="S34" i="17"/>
  <c r="R34" i="17"/>
  <c r="Q34" i="17"/>
  <c r="P34" i="17"/>
  <c r="O34" i="17"/>
  <c r="N34" i="17"/>
  <c r="AD33" i="17"/>
  <c r="AC33" i="17"/>
  <c r="AB33" i="17"/>
  <c r="AA33" i="17"/>
  <c r="Z33" i="17"/>
  <c r="Y33" i="17"/>
  <c r="X33" i="17"/>
  <c r="W33" i="17"/>
  <c r="V33" i="17"/>
  <c r="U33" i="17"/>
  <c r="T33" i="17"/>
  <c r="S33" i="17"/>
  <c r="R33" i="17"/>
  <c r="Q33" i="17"/>
  <c r="P33" i="17"/>
  <c r="O33" i="17"/>
  <c r="N33" i="17"/>
  <c r="AD32" i="17"/>
  <c r="AC32" i="17"/>
  <c r="AB32" i="17"/>
  <c r="AA32" i="17"/>
  <c r="Z32" i="17"/>
  <c r="Y32" i="17"/>
  <c r="X32" i="17"/>
  <c r="W32" i="17"/>
  <c r="V32" i="17"/>
  <c r="U32" i="17"/>
  <c r="T32" i="17"/>
  <c r="S32" i="17"/>
  <c r="R32" i="17"/>
  <c r="Q32" i="17"/>
  <c r="P32" i="17"/>
  <c r="O32" i="17"/>
  <c r="N32" i="17"/>
  <c r="AD31" i="17"/>
  <c r="AC31" i="17"/>
  <c r="AB31" i="17"/>
  <c r="AA31" i="17"/>
  <c r="Z31" i="17"/>
  <c r="Y31" i="17"/>
  <c r="X31" i="17"/>
  <c r="W31" i="17"/>
  <c r="V31" i="17"/>
  <c r="U31" i="17"/>
  <c r="T31" i="17"/>
  <c r="S31" i="17"/>
  <c r="R31" i="17"/>
  <c r="Q31" i="17"/>
  <c r="P31" i="17"/>
  <c r="O31" i="17"/>
  <c r="N31" i="17"/>
  <c r="AD30" i="17"/>
  <c r="AC30" i="17"/>
  <c r="AB30" i="17"/>
  <c r="AA30" i="17"/>
  <c r="Z30" i="17"/>
  <c r="Y30" i="17"/>
  <c r="X30" i="17"/>
  <c r="W30" i="17"/>
  <c r="V30" i="17"/>
  <c r="U30" i="17"/>
  <c r="T30" i="17"/>
  <c r="S30" i="17"/>
  <c r="R30" i="17"/>
  <c r="Q30" i="17"/>
  <c r="P30" i="17"/>
  <c r="O30" i="17"/>
  <c r="N30" i="17"/>
  <c r="AD29" i="17"/>
  <c r="AC29" i="17"/>
  <c r="AB29" i="17"/>
  <c r="AA29" i="17"/>
  <c r="Z29" i="17"/>
  <c r="Y29" i="17"/>
  <c r="X29" i="17"/>
  <c r="W29" i="17"/>
  <c r="V29" i="17"/>
  <c r="U29" i="17"/>
  <c r="T29" i="17"/>
  <c r="S29" i="17"/>
  <c r="R29" i="17"/>
  <c r="Q29" i="17"/>
  <c r="P29" i="17"/>
  <c r="O29" i="17"/>
  <c r="N29" i="17"/>
  <c r="AD28" i="17"/>
  <c r="AC28" i="17"/>
  <c r="AB28" i="17"/>
  <c r="AA28" i="17"/>
  <c r="Z28" i="17"/>
  <c r="Y28" i="17"/>
  <c r="X28" i="17"/>
  <c r="W28" i="17"/>
  <c r="V28" i="17"/>
  <c r="U28" i="17"/>
  <c r="T28" i="17"/>
  <c r="S28" i="17"/>
  <c r="R28" i="17"/>
  <c r="Q28" i="17"/>
  <c r="P28" i="17"/>
  <c r="O28" i="17"/>
  <c r="N28" i="17"/>
  <c r="AD27" i="17"/>
  <c r="AC27" i="17"/>
  <c r="AB27" i="17"/>
  <c r="AA27" i="17"/>
  <c r="Z27" i="17"/>
  <c r="Y27" i="17"/>
  <c r="X27" i="17"/>
  <c r="W27" i="17"/>
  <c r="V27" i="17"/>
  <c r="U27" i="17"/>
  <c r="T27" i="17"/>
  <c r="S27" i="17"/>
  <c r="R27" i="17"/>
  <c r="Q27" i="17"/>
  <c r="P27" i="17"/>
  <c r="O27" i="17"/>
  <c r="N27" i="17"/>
  <c r="AD26" i="17"/>
  <c r="AC26" i="17"/>
  <c r="AB26" i="17"/>
  <c r="AA26" i="17"/>
  <c r="Z26" i="17"/>
  <c r="Y26" i="17"/>
  <c r="X26" i="17"/>
  <c r="W26" i="17"/>
  <c r="V26" i="17"/>
  <c r="U26" i="17"/>
  <c r="T26" i="17"/>
  <c r="S26" i="17"/>
  <c r="R26" i="17"/>
  <c r="Q26" i="17"/>
  <c r="P26" i="17"/>
  <c r="O26" i="17"/>
  <c r="N26" i="17"/>
  <c r="AD25" i="17"/>
  <c r="AC25" i="17"/>
  <c r="AB25" i="17"/>
  <c r="AA25" i="17"/>
  <c r="Z25" i="17"/>
  <c r="Y25" i="17"/>
  <c r="X25" i="17"/>
  <c r="W25" i="17"/>
  <c r="V25" i="17"/>
  <c r="U25" i="17"/>
  <c r="T25" i="17"/>
  <c r="S25" i="17"/>
  <c r="R25" i="17"/>
  <c r="Q25" i="17"/>
  <c r="P25" i="17"/>
  <c r="O25" i="17"/>
  <c r="N25" i="17"/>
  <c r="AD24" i="17"/>
  <c r="AC24" i="17"/>
  <c r="AB24" i="17"/>
  <c r="AA24" i="17"/>
  <c r="Z24" i="17"/>
  <c r="Y24" i="17"/>
  <c r="X24" i="17"/>
  <c r="W24" i="17"/>
  <c r="V24" i="17"/>
  <c r="U24" i="17"/>
  <c r="T24" i="17"/>
  <c r="S24" i="17"/>
  <c r="R24" i="17"/>
  <c r="Q24" i="17"/>
  <c r="P24" i="17"/>
  <c r="O24" i="17"/>
  <c r="N24" i="17"/>
  <c r="AD23" i="17"/>
  <c r="AC23" i="17"/>
  <c r="AB23" i="17"/>
  <c r="AA23" i="17"/>
  <c r="Z23" i="17"/>
  <c r="Y23" i="17"/>
  <c r="X23" i="17"/>
  <c r="W23" i="17"/>
  <c r="V23" i="17"/>
  <c r="U23" i="17"/>
  <c r="T23" i="17"/>
  <c r="S23" i="17"/>
  <c r="R23" i="17"/>
  <c r="Q23" i="17"/>
  <c r="P23" i="17"/>
  <c r="O23" i="17"/>
  <c r="N23" i="17"/>
  <c r="AD22" i="17"/>
  <c r="AC22" i="17"/>
  <c r="AB22" i="17"/>
  <c r="AA22" i="17"/>
  <c r="Z22" i="17"/>
  <c r="Y22" i="17"/>
  <c r="X22" i="17"/>
  <c r="W22" i="17"/>
  <c r="V22" i="17"/>
  <c r="U22" i="17"/>
  <c r="T22" i="17"/>
  <c r="S22" i="17"/>
  <c r="R22" i="17"/>
  <c r="Q22" i="17"/>
  <c r="P22" i="17"/>
  <c r="O22" i="17"/>
  <c r="N22" i="17"/>
  <c r="AD21" i="17"/>
  <c r="AC21" i="17"/>
  <c r="AB21" i="17"/>
  <c r="AA21" i="17"/>
  <c r="Z21" i="17"/>
  <c r="Y21" i="17"/>
  <c r="X21" i="17"/>
  <c r="W21" i="17"/>
  <c r="V21" i="17"/>
  <c r="U21" i="17"/>
  <c r="T21" i="17"/>
  <c r="S21" i="17"/>
  <c r="R21" i="17"/>
  <c r="Q21" i="17"/>
  <c r="P21" i="17"/>
  <c r="O21" i="17"/>
  <c r="N21" i="17"/>
  <c r="AD20" i="17"/>
  <c r="AC20" i="17"/>
  <c r="AB20" i="17"/>
  <c r="AA20" i="17"/>
  <c r="Z20" i="17"/>
  <c r="Y20" i="17"/>
  <c r="X20" i="17"/>
  <c r="W20" i="17"/>
  <c r="V20" i="17"/>
  <c r="U20" i="17"/>
  <c r="T20" i="17"/>
  <c r="S20" i="17"/>
  <c r="R20" i="17"/>
  <c r="Q20" i="17"/>
  <c r="P20" i="17"/>
  <c r="O20" i="17"/>
  <c r="N20" i="17"/>
  <c r="AD19" i="17"/>
  <c r="AC19" i="17"/>
  <c r="AB19" i="17"/>
  <c r="AA19" i="17"/>
  <c r="Z19" i="17"/>
  <c r="Y19" i="17"/>
  <c r="X19" i="17"/>
  <c r="W19" i="17"/>
  <c r="V19" i="17"/>
  <c r="U19" i="17"/>
  <c r="T19" i="17"/>
  <c r="S19" i="17"/>
  <c r="R19" i="17"/>
  <c r="Q19" i="17"/>
  <c r="P19" i="17"/>
  <c r="O19" i="17"/>
  <c r="N19" i="17"/>
  <c r="AD18" i="17"/>
  <c r="AC18" i="17"/>
  <c r="AB18" i="17"/>
  <c r="AA18" i="17"/>
  <c r="Z18" i="17"/>
  <c r="Y18" i="17"/>
  <c r="X18" i="17"/>
  <c r="W18" i="17"/>
  <c r="V18" i="17"/>
  <c r="U18" i="17"/>
  <c r="T18" i="17"/>
  <c r="S18" i="17"/>
  <c r="R18" i="17"/>
  <c r="Q18" i="17"/>
  <c r="P18" i="17"/>
  <c r="O18" i="17"/>
  <c r="N18" i="17"/>
  <c r="AD17" i="17"/>
  <c r="AC17" i="17"/>
  <c r="AB17" i="17"/>
  <c r="AA17" i="17"/>
  <c r="Z17" i="17"/>
  <c r="Y17" i="17"/>
  <c r="X17" i="17"/>
  <c r="W17" i="17"/>
  <c r="V17" i="17"/>
  <c r="U17" i="17"/>
  <c r="T17" i="17"/>
  <c r="S17" i="17"/>
  <c r="R17" i="17"/>
  <c r="Q17" i="17"/>
  <c r="P17" i="17"/>
  <c r="O17" i="17"/>
  <c r="N17" i="17"/>
  <c r="AD16" i="17"/>
  <c r="AC16" i="17"/>
  <c r="AB16" i="17"/>
  <c r="AA16" i="17"/>
  <c r="Z16" i="17"/>
  <c r="Y16" i="17"/>
  <c r="X16" i="17"/>
  <c r="W16" i="17"/>
  <c r="V16" i="17"/>
  <c r="U16" i="17"/>
  <c r="T16" i="17"/>
  <c r="S16" i="17"/>
  <c r="R16" i="17"/>
  <c r="Q16" i="17"/>
  <c r="P16" i="17"/>
  <c r="O16" i="17"/>
  <c r="N16" i="17"/>
  <c r="AD15" i="17"/>
  <c r="AC15" i="17"/>
  <c r="AB15" i="17"/>
  <c r="AA15" i="17"/>
  <c r="Z15" i="17"/>
  <c r="Y15" i="17"/>
  <c r="X15" i="17"/>
  <c r="W15" i="17"/>
  <c r="V15" i="17"/>
  <c r="U15" i="17"/>
  <c r="T15" i="17"/>
  <c r="S15" i="17"/>
  <c r="R15" i="17"/>
  <c r="Q15" i="17"/>
  <c r="P15" i="17"/>
  <c r="O15" i="17"/>
  <c r="N15" i="17"/>
  <c r="AD14" i="17"/>
  <c r="AC14" i="17"/>
  <c r="AB14" i="17"/>
  <c r="AA14" i="17"/>
  <c r="Z14" i="17"/>
  <c r="Y14" i="17"/>
  <c r="X14" i="17"/>
  <c r="W14" i="17"/>
  <c r="V14" i="17"/>
  <c r="U14" i="17"/>
  <c r="T14" i="17"/>
  <c r="S14" i="17"/>
  <c r="R14" i="17"/>
  <c r="Q14" i="17"/>
  <c r="P14" i="17"/>
  <c r="O14" i="17"/>
  <c r="N14" i="17"/>
  <c r="AD13" i="17"/>
  <c r="AC13" i="17"/>
  <c r="AB13" i="17"/>
  <c r="AA13" i="17"/>
  <c r="Z13" i="17"/>
  <c r="Y13" i="17"/>
  <c r="X13" i="17"/>
  <c r="W13" i="17"/>
  <c r="V13" i="17"/>
  <c r="U13" i="17"/>
  <c r="T13" i="17"/>
  <c r="S13" i="17"/>
  <c r="R13" i="17"/>
  <c r="Q13" i="17"/>
  <c r="P13" i="17"/>
  <c r="O13" i="17"/>
  <c r="N13" i="17"/>
  <c r="AD12" i="17"/>
  <c r="AC12" i="17"/>
  <c r="AB12" i="17"/>
  <c r="AA12" i="17"/>
  <c r="Z12" i="17"/>
  <c r="Y12" i="17"/>
  <c r="X12" i="17"/>
  <c r="W12" i="17"/>
  <c r="V12" i="17"/>
  <c r="U12" i="17"/>
  <c r="T12" i="17"/>
  <c r="S12" i="17"/>
  <c r="R12" i="17"/>
  <c r="Q12" i="17"/>
  <c r="P12" i="17"/>
  <c r="O12" i="17"/>
  <c r="N12" i="17"/>
  <c r="AD11" i="17"/>
  <c r="AC11" i="17"/>
  <c r="AB11" i="17"/>
  <c r="AA11" i="17"/>
  <c r="Z11" i="17"/>
  <c r="Y11" i="17"/>
  <c r="X11" i="17"/>
  <c r="W11" i="17"/>
  <c r="V11" i="17"/>
  <c r="U11" i="17"/>
  <c r="T11" i="17"/>
  <c r="S11" i="17"/>
  <c r="R11" i="17"/>
  <c r="Q11" i="17"/>
  <c r="P11" i="17"/>
  <c r="O11" i="17"/>
  <c r="C7" i="17"/>
  <c r="B7" i="17"/>
  <c r="C6" i="17"/>
  <c r="B6" i="17"/>
  <c r="C5" i="17"/>
  <c r="B5" i="17"/>
  <c r="C4" i="17"/>
  <c r="B4" i="17"/>
  <c r="C3" i="17"/>
  <c r="B3" i="17"/>
  <c r="C2" i="17"/>
  <c r="B2" i="17"/>
  <c r="D142" i="16"/>
  <c r="B142" i="16"/>
  <c r="D141" i="16"/>
  <c r="B141" i="16"/>
  <c r="D140" i="16"/>
  <c r="B140" i="16"/>
  <c r="D139" i="16"/>
  <c r="B139" i="16"/>
  <c r="D138" i="16"/>
  <c r="B138" i="16"/>
  <c r="C136" i="16"/>
  <c r="C135" i="16"/>
  <c r="C133" i="16"/>
  <c r="B147" i="16"/>
  <c r="B155" i="16"/>
  <c r="I84" i="16"/>
  <c r="C84" i="16"/>
  <c r="B84" i="16"/>
  <c r="I83" i="16"/>
  <c r="C83" i="16"/>
  <c r="B83" i="16"/>
  <c r="I82" i="16"/>
  <c r="C82" i="16"/>
  <c r="B82" i="16"/>
  <c r="I81" i="16"/>
  <c r="C81" i="16"/>
  <c r="B81" i="16"/>
  <c r="I80" i="16"/>
  <c r="C80" i="16"/>
  <c r="B80" i="16"/>
  <c r="I79" i="16"/>
  <c r="C79" i="16"/>
  <c r="B79" i="16"/>
  <c r="I78" i="16"/>
  <c r="C78" i="16"/>
  <c r="B78" i="16"/>
  <c r="I77" i="16"/>
  <c r="C77" i="16"/>
  <c r="B77" i="16"/>
  <c r="I76" i="16"/>
  <c r="C76" i="16"/>
  <c r="B76" i="16"/>
  <c r="I75" i="16"/>
  <c r="C75" i="16"/>
  <c r="B75" i="16"/>
  <c r="I74" i="16"/>
  <c r="C74" i="16"/>
  <c r="B74" i="16"/>
  <c r="I73" i="16"/>
  <c r="C73" i="16"/>
  <c r="B73" i="16"/>
  <c r="I72" i="16"/>
  <c r="C72" i="16"/>
  <c r="B72" i="16"/>
  <c r="I71" i="16"/>
  <c r="C71" i="16"/>
  <c r="B71" i="16"/>
  <c r="I70" i="16"/>
  <c r="C70" i="16"/>
  <c r="B70" i="16"/>
  <c r="I69" i="16"/>
  <c r="C69" i="16"/>
  <c r="B69" i="16"/>
  <c r="I68" i="16"/>
  <c r="C68" i="16"/>
  <c r="B68" i="16"/>
  <c r="I67" i="16"/>
  <c r="C67" i="16"/>
  <c r="B67" i="16"/>
  <c r="I66" i="16"/>
  <c r="C66" i="16"/>
  <c r="B66" i="16"/>
  <c r="I65" i="16"/>
  <c r="C65" i="16"/>
  <c r="B65" i="16"/>
  <c r="O64" i="16"/>
  <c r="N64" i="16"/>
  <c r="H63" i="16"/>
  <c r="G63" i="16"/>
  <c r="F63" i="16"/>
  <c r="B58" i="16"/>
  <c r="B150" i="16" s="1"/>
  <c r="B57" i="16"/>
  <c r="B149" i="16" s="1"/>
  <c r="B56" i="16"/>
  <c r="B148" i="16" s="1"/>
  <c r="B114" i="15"/>
  <c r="B113" i="15"/>
  <c r="F106" i="15"/>
  <c r="F105" i="15"/>
  <c r="F104" i="15"/>
  <c r="F103" i="15"/>
  <c r="F102" i="15"/>
  <c r="F101" i="15"/>
  <c r="F100" i="15"/>
  <c r="F96" i="15"/>
  <c r="F95" i="15"/>
  <c r="F94" i="15"/>
  <c r="F93" i="15"/>
  <c r="F92" i="15"/>
  <c r="F91" i="15"/>
  <c r="F90" i="15"/>
  <c r="F89" i="15"/>
  <c r="F88" i="15"/>
  <c r="F87" i="15"/>
  <c r="F86" i="15"/>
  <c r="F82" i="15"/>
  <c r="F81" i="15"/>
  <c r="F80" i="15"/>
  <c r="F79" i="15"/>
  <c r="F78" i="15"/>
  <c r="F77" i="15"/>
  <c r="F76" i="15"/>
  <c r="F75" i="15"/>
  <c r="F74" i="15"/>
  <c r="F73" i="15"/>
  <c r="F72" i="15"/>
  <c r="F71" i="15"/>
  <c r="F68" i="15"/>
  <c r="F67" i="15"/>
  <c r="E58" i="15"/>
  <c r="B58" i="15"/>
  <c r="E57" i="15"/>
  <c r="B57" i="15"/>
  <c r="E56" i="15"/>
  <c r="B56" i="15"/>
  <c r="E55" i="15"/>
  <c r="B55" i="15"/>
  <c r="E54" i="15"/>
  <c r="B54" i="15"/>
  <c r="B53" i="15"/>
  <c r="C52" i="15"/>
  <c r="B52" i="15"/>
  <c r="H46" i="15"/>
  <c r="H45" i="15"/>
  <c r="H44" i="15"/>
  <c r="H43" i="15"/>
  <c r="H42" i="15"/>
  <c r="H41" i="15"/>
  <c r="C59" i="14"/>
  <c r="C75" i="14" s="1"/>
  <c r="D75" i="14" s="1"/>
  <c r="E48" i="14"/>
  <c r="E108" i="14" s="1"/>
  <c r="F31" i="14"/>
  <c r="F30" i="14"/>
  <c r="F5" i="14"/>
  <c r="E5" i="14"/>
  <c r="C5" i="14"/>
  <c r="B5" i="14"/>
  <c r="H23" i="13"/>
  <c r="H37" i="13"/>
  <c r="G32" i="13" s="1"/>
  <c r="G26" i="13"/>
  <c r="G27" i="13"/>
  <c r="G34" i="13" l="1"/>
  <c r="Q68" i="16"/>
  <c r="D68" i="16"/>
  <c r="E68" i="16"/>
  <c r="P68" i="16" s="1"/>
  <c r="Q72" i="16"/>
  <c r="D72" i="16"/>
  <c r="E72" i="16"/>
  <c r="P72" i="16" s="1"/>
  <c r="Q67" i="16"/>
  <c r="D67" i="16"/>
  <c r="E67" i="16"/>
  <c r="P67" i="16" s="1"/>
  <c r="Q71" i="16"/>
  <c r="D71" i="16"/>
  <c r="E71" i="16"/>
  <c r="Q66" i="16"/>
  <c r="E66" i="16"/>
  <c r="P66" i="16" s="1"/>
  <c r="D66" i="16"/>
  <c r="Q70" i="16"/>
  <c r="E70" i="16"/>
  <c r="P70" i="16" s="1"/>
  <c r="D70" i="16"/>
  <c r="D65" i="16"/>
  <c r="E65" i="16"/>
  <c r="P65" i="16" s="1"/>
  <c r="Q69" i="16"/>
  <c r="D69" i="16"/>
  <c r="E69" i="16"/>
  <c r="E55" i="14"/>
  <c r="Q77" i="16"/>
  <c r="D77" i="16"/>
  <c r="E77" i="16"/>
  <c r="P77" i="16" s="1"/>
  <c r="Q76" i="16"/>
  <c r="E76" i="16"/>
  <c r="P76" i="16" s="1"/>
  <c r="D76" i="16"/>
  <c r="Q80" i="16"/>
  <c r="E80" i="16"/>
  <c r="P80" i="16" s="1"/>
  <c r="D80" i="16"/>
  <c r="Q73" i="16"/>
  <c r="D73" i="16"/>
  <c r="E73" i="16"/>
  <c r="P73" i="16" s="1"/>
  <c r="Q81" i="16"/>
  <c r="D81" i="16"/>
  <c r="E81" i="16"/>
  <c r="P81" i="16" s="1"/>
  <c r="Q84" i="16"/>
  <c r="E84" i="16"/>
  <c r="P84" i="16" s="1"/>
  <c r="D84" i="16"/>
  <c r="Q75" i="16"/>
  <c r="E75" i="16"/>
  <c r="P75" i="16" s="1"/>
  <c r="D75" i="16"/>
  <c r="Q79" i="16"/>
  <c r="E79" i="16"/>
  <c r="P79" i="16" s="1"/>
  <c r="D79" i="16"/>
  <c r="Q83" i="16"/>
  <c r="E83" i="16"/>
  <c r="P83" i="16" s="1"/>
  <c r="D83" i="16"/>
  <c r="Q74" i="16"/>
  <c r="D74" i="16"/>
  <c r="E74" i="16"/>
  <c r="P74" i="16" s="1"/>
  <c r="Q78" i="16"/>
  <c r="D78" i="16"/>
  <c r="E78" i="16"/>
  <c r="P78" i="16" s="1"/>
  <c r="Q82" i="16"/>
  <c r="D82" i="16"/>
  <c r="E82" i="16"/>
  <c r="P82" i="16" s="1"/>
  <c r="F97" i="15"/>
  <c r="F98" i="15" s="1"/>
  <c r="D149" i="16" s="1"/>
  <c r="F83" i="15"/>
  <c r="F84" i="15" s="1"/>
  <c r="D148" i="16" s="1"/>
  <c r="H28" i="13"/>
  <c r="F108" i="14"/>
  <c r="G108" i="14" s="1"/>
  <c r="H108" i="14" s="1"/>
  <c r="I108" i="14" s="1"/>
  <c r="J108" i="14" s="1"/>
  <c r="K108" i="14" s="1"/>
  <c r="L108" i="14" s="1"/>
  <c r="M108" i="14" s="1"/>
  <c r="N108" i="14" s="1"/>
  <c r="O108" i="14" s="1"/>
  <c r="P108" i="14" s="1"/>
  <c r="Q108" i="14" s="1"/>
  <c r="R108" i="14" s="1"/>
  <c r="S108" i="14" s="1"/>
  <c r="T108" i="14" s="1"/>
  <c r="E109" i="14"/>
  <c r="C32" i="14"/>
  <c r="F32" i="14" s="1"/>
  <c r="E114" i="14"/>
  <c r="F114" i="14" s="1"/>
  <c r="G114" i="14" s="1"/>
  <c r="H114" i="14" s="1"/>
  <c r="I114" i="14" s="1"/>
  <c r="J114" i="14" s="1"/>
  <c r="K114" i="14" s="1"/>
  <c r="L114" i="14" s="1"/>
  <c r="M114" i="14" s="1"/>
  <c r="N114" i="14" s="1"/>
  <c r="O114" i="14" s="1"/>
  <c r="P114" i="14" s="1"/>
  <c r="Q114" i="14" s="1"/>
  <c r="R114" i="14" s="1"/>
  <c r="S114" i="14" s="1"/>
  <c r="T114" i="14" s="1"/>
  <c r="E57" i="14"/>
  <c r="Q65" i="16"/>
  <c r="G98" i="16"/>
  <c r="G97" i="16"/>
  <c r="F107" i="15"/>
  <c r="F56" i="15"/>
  <c r="D155" i="16" s="1"/>
  <c r="F54" i="15"/>
  <c r="D153" i="16" s="1"/>
  <c r="F69" i="15"/>
  <c r="C76" i="14"/>
  <c r="D76" i="14" s="1"/>
  <c r="C60" i="14"/>
  <c r="D60" i="14" s="1"/>
  <c r="C64" i="14"/>
  <c r="D64" i="14" s="1"/>
  <c r="C68" i="14"/>
  <c r="D68" i="14" s="1"/>
  <c r="C73" i="14"/>
  <c r="D73" i="14" s="1"/>
  <c r="B152" i="16"/>
  <c r="B153" i="16"/>
  <c r="B154" i="16"/>
  <c r="B156" i="16"/>
  <c r="B157" i="16"/>
  <c r="C67" i="14"/>
  <c r="D67" i="14" s="1"/>
  <c r="C70" i="14"/>
  <c r="D70" i="14" s="1"/>
  <c r="C72" i="14"/>
  <c r="E47" i="15"/>
  <c r="C71" i="14"/>
  <c r="D71" i="14" s="1"/>
  <c r="C74" i="14"/>
  <c r="D74" i="14" s="1"/>
  <c r="C61" i="14"/>
  <c r="D61" i="14" s="1"/>
  <c r="C65" i="14"/>
  <c r="D65" i="14" s="1"/>
  <c r="C69" i="14"/>
  <c r="D69" i="14" s="1"/>
  <c r="C47" i="15"/>
  <c r="F53" i="15"/>
  <c r="D152" i="16" s="1"/>
  <c r="F57" i="15"/>
  <c r="D156" i="16" s="1"/>
  <c r="C63" i="14"/>
  <c r="C66" i="14"/>
  <c r="D66" i="14" s="1"/>
  <c r="F116" i="16"/>
  <c r="F129" i="16" s="1"/>
  <c r="D47" i="15"/>
  <c r="G33" i="13"/>
  <c r="D147" i="16" l="1"/>
  <c r="G35" i="13"/>
  <c r="H35" i="13" s="1"/>
  <c r="H39" i="13" s="1"/>
  <c r="D44" i="13" s="1"/>
  <c r="H51" i="13" s="1"/>
  <c r="F108" i="15"/>
  <c r="D150" i="16" s="1"/>
  <c r="F135" i="16"/>
  <c r="F142" i="16"/>
  <c r="F141" i="16"/>
  <c r="F140" i="16"/>
  <c r="F139" i="16"/>
  <c r="F138" i="16"/>
  <c r="F130" i="16"/>
  <c r="I97" i="16"/>
  <c r="D72" i="14"/>
  <c r="O73" i="16"/>
  <c r="N73" i="16"/>
  <c r="O69" i="16"/>
  <c r="P69" i="16"/>
  <c r="F152" i="16"/>
  <c r="P71" i="16"/>
  <c r="F55" i="15"/>
  <c r="D154" i="16" s="1"/>
  <c r="F58" i="15"/>
  <c r="D157" i="16" s="1"/>
  <c r="I98" i="16"/>
  <c r="F119" i="16"/>
  <c r="O77" i="16"/>
  <c r="N69" i="16"/>
  <c r="O65" i="16"/>
  <c r="N65" i="16"/>
  <c r="N77" i="16"/>
  <c r="O81" i="16"/>
  <c r="N81" i="16"/>
  <c r="F156" i="16"/>
  <c r="O76" i="16"/>
  <c r="N76" i="16"/>
  <c r="D113" i="15"/>
  <c r="N78" i="16"/>
  <c r="O78" i="16"/>
  <c r="O70" i="16"/>
  <c r="N70" i="16"/>
  <c r="F136" i="16"/>
  <c r="F147" i="16"/>
  <c r="F122" i="16"/>
  <c r="F123" i="16"/>
  <c r="F149" i="16"/>
  <c r="F150" i="16"/>
  <c r="F124" i="16"/>
  <c r="G116" i="16"/>
  <c r="F120" i="16"/>
  <c r="F121" i="16"/>
  <c r="N83" i="16"/>
  <c r="O83" i="16"/>
  <c r="N67" i="16"/>
  <c r="O67" i="16"/>
  <c r="D114" i="15"/>
  <c r="F155" i="16"/>
  <c r="F153" i="16"/>
  <c r="O72" i="16"/>
  <c r="N72" i="16"/>
  <c r="N71" i="16"/>
  <c r="O71" i="16"/>
  <c r="F157" i="16"/>
  <c r="O84" i="16"/>
  <c r="N84" i="16"/>
  <c r="O68" i="16"/>
  <c r="N68" i="16"/>
  <c r="N79" i="16"/>
  <c r="O79" i="16"/>
  <c r="N82" i="16"/>
  <c r="O82" i="16"/>
  <c r="O74" i="16"/>
  <c r="N74" i="16"/>
  <c r="O66" i="16"/>
  <c r="N66" i="16"/>
  <c r="N75" i="16"/>
  <c r="O75" i="16"/>
  <c r="F154" i="16"/>
  <c r="O80" i="16"/>
  <c r="N80" i="16"/>
  <c r="F110" i="15" l="1"/>
  <c r="H54" i="13"/>
  <c r="H40" i="13"/>
  <c r="G40" i="13" s="1"/>
  <c r="F125" i="16"/>
  <c r="D115" i="15"/>
  <c r="H116" i="16"/>
  <c r="G139" i="16"/>
  <c r="G133" i="16"/>
  <c r="G142" i="16"/>
  <c r="G138" i="16"/>
  <c r="G141" i="16"/>
  <c r="G136" i="16"/>
  <c r="G140" i="16"/>
  <c r="G135" i="16"/>
  <c r="G152" i="16"/>
  <c r="G129" i="16"/>
  <c r="G130" i="16" s="1"/>
  <c r="K84" i="16"/>
  <c r="F59" i="15"/>
  <c r="G157" i="16"/>
  <c r="F158" i="16"/>
  <c r="F159" i="16" s="1"/>
  <c r="L83" i="16"/>
  <c r="L84" i="16"/>
  <c r="M84" i="16"/>
  <c r="M83" i="16"/>
  <c r="K83" i="16"/>
  <c r="G153" i="16"/>
  <c r="G154" i="16"/>
  <c r="G123" i="16"/>
  <c r="G155" i="16"/>
  <c r="G149" i="16"/>
  <c r="G124" i="16"/>
  <c r="G150" i="16"/>
  <c r="G119" i="16"/>
  <c r="G122" i="16"/>
  <c r="G120" i="16"/>
  <c r="G156" i="16"/>
  <c r="G121" i="16"/>
  <c r="G147" i="16"/>
  <c r="F93" i="16" l="1"/>
  <c r="D158" i="16"/>
  <c r="D116" i="15"/>
  <c r="D46" i="13"/>
  <c r="H46" i="13" s="1"/>
  <c r="H49" i="13" s="1"/>
  <c r="H56" i="13" s="1"/>
  <c r="H62" i="13" s="1"/>
  <c r="G125" i="16"/>
  <c r="G143" i="16"/>
  <c r="F60" i="15"/>
  <c r="E114" i="15" s="1"/>
  <c r="H141" i="16"/>
  <c r="H139" i="16"/>
  <c r="H136" i="16"/>
  <c r="H142" i="16"/>
  <c r="H138" i="16"/>
  <c r="H135" i="16"/>
  <c r="H133" i="16"/>
  <c r="H140" i="16"/>
  <c r="F126" i="16"/>
  <c r="F127" i="16" s="1"/>
  <c r="F131" i="16" s="1"/>
  <c r="H152" i="16"/>
  <c r="H129" i="16"/>
  <c r="G158" i="16"/>
  <c r="G159" i="16" s="1"/>
  <c r="H154" i="16"/>
  <c r="H155" i="16"/>
  <c r="H153" i="16"/>
  <c r="H149" i="16"/>
  <c r="H124" i="16"/>
  <c r="H156" i="16"/>
  <c r="H150" i="16"/>
  <c r="H122" i="16"/>
  <c r="H120" i="16"/>
  <c r="H123" i="16"/>
  <c r="H121" i="16"/>
  <c r="H157" i="16"/>
  <c r="H147" i="16"/>
  <c r="H119" i="16"/>
  <c r="H148" i="16"/>
  <c r="I116" i="16"/>
  <c r="K93" i="16" l="1"/>
  <c r="G93" i="16"/>
  <c r="H93" i="16"/>
  <c r="J93" i="16"/>
  <c r="E115" i="15"/>
  <c r="F94" i="16"/>
  <c r="F96" i="16"/>
  <c r="F95" i="16"/>
  <c r="E116" i="15"/>
  <c r="H61" i="13"/>
  <c r="H143" i="16"/>
  <c r="I141" i="16"/>
  <c r="I140" i="16"/>
  <c r="I135" i="16"/>
  <c r="I142" i="16"/>
  <c r="I136" i="16"/>
  <c r="I133" i="16"/>
  <c r="I138" i="16"/>
  <c r="I139" i="16"/>
  <c r="E113" i="15"/>
  <c r="I152" i="16"/>
  <c r="I129" i="16"/>
  <c r="I130" i="16" s="1"/>
  <c r="H130" i="16"/>
  <c r="H158" i="16"/>
  <c r="H159" i="16" s="1"/>
  <c r="H125" i="16"/>
  <c r="H126" i="16" s="1"/>
  <c r="H127" i="16" s="1"/>
  <c r="G126" i="16"/>
  <c r="G127" i="16" s="1"/>
  <c r="G131" i="16" s="1"/>
  <c r="I155" i="16"/>
  <c r="I156" i="16"/>
  <c r="I154" i="16"/>
  <c r="I150" i="16"/>
  <c r="I157" i="16"/>
  <c r="I147" i="16"/>
  <c r="I122" i="16"/>
  <c r="I123" i="16"/>
  <c r="I121" i="16"/>
  <c r="I153" i="16"/>
  <c r="I124" i="16"/>
  <c r="I148" i="16"/>
  <c r="I119" i="16"/>
  <c r="I120" i="16"/>
  <c r="J116" i="16"/>
  <c r="I149" i="16"/>
  <c r="K96" i="16" l="1"/>
  <c r="J96" i="16"/>
  <c r="H96" i="16"/>
  <c r="K95" i="16"/>
  <c r="J95" i="16"/>
  <c r="H95" i="16"/>
  <c r="H94" i="16"/>
  <c r="J94" i="16"/>
  <c r="G96" i="16"/>
  <c r="K79" i="16" s="1"/>
  <c r="K82" i="16"/>
  <c r="I96" i="16"/>
  <c r="G95" i="16"/>
  <c r="I95" i="16"/>
  <c r="I94" i="16"/>
  <c r="G94" i="16"/>
  <c r="K94" i="16"/>
  <c r="K100" i="16" s="1"/>
  <c r="I100" i="16" s="1"/>
  <c r="I93" i="16"/>
  <c r="K69" i="16"/>
  <c r="H131" i="16"/>
  <c r="H144" i="16" s="1"/>
  <c r="H160" i="16" s="1"/>
  <c r="I143" i="16"/>
  <c r="G144" i="16"/>
  <c r="G160" i="16" s="1"/>
  <c r="J142" i="16"/>
  <c r="J140" i="16"/>
  <c r="J138" i="16"/>
  <c r="J139" i="16"/>
  <c r="J141" i="16"/>
  <c r="J135" i="16"/>
  <c r="J136" i="16"/>
  <c r="J133" i="16"/>
  <c r="J152" i="16"/>
  <c r="J129" i="16"/>
  <c r="I158" i="16"/>
  <c r="I159" i="16" s="1"/>
  <c r="I125" i="16"/>
  <c r="J156" i="16"/>
  <c r="J157" i="16"/>
  <c r="J153" i="16"/>
  <c r="J155" i="16"/>
  <c r="J147" i="16"/>
  <c r="J122" i="16"/>
  <c r="J148" i="16"/>
  <c r="J123" i="16"/>
  <c r="J124" i="16"/>
  <c r="J154" i="16"/>
  <c r="J119" i="16"/>
  <c r="J149" i="16"/>
  <c r="J120" i="16"/>
  <c r="J121" i="16"/>
  <c r="K116" i="16"/>
  <c r="J150" i="16"/>
  <c r="G100" i="16" l="1"/>
  <c r="H100" i="16"/>
  <c r="M134" i="16" s="1"/>
  <c r="K78" i="16"/>
  <c r="K80" i="16"/>
  <c r="K81" i="16"/>
  <c r="D135" i="16"/>
  <c r="L78" i="16"/>
  <c r="L81" i="16"/>
  <c r="L80" i="16"/>
  <c r="L79" i="16"/>
  <c r="L82" i="16"/>
  <c r="L69" i="16"/>
  <c r="M65" i="16"/>
  <c r="M71" i="16"/>
  <c r="M70" i="16"/>
  <c r="L68" i="16"/>
  <c r="L76" i="16"/>
  <c r="L77" i="16"/>
  <c r="L67" i="16"/>
  <c r="M79" i="16"/>
  <c r="M82" i="16"/>
  <c r="M80" i="16"/>
  <c r="M69" i="16"/>
  <c r="M81" i="16"/>
  <c r="M78" i="16"/>
  <c r="L66" i="16"/>
  <c r="L72" i="16"/>
  <c r="L74" i="16"/>
  <c r="L73" i="16"/>
  <c r="L75" i="16"/>
  <c r="K65" i="16"/>
  <c r="K71" i="16"/>
  <c r="K70" i="16"/>
  <c r="M73" i="16"/>
  <c r="M66" i="16"/>
  <c r="M72" i="16"/>
  <c r="M75" i="16"/>
  <c r="M74" i="16"/>
  <c r="K77" i="16"/>
  <c r="K67" i="16"/>
  <c r="K68" i="16"/>
  <c r="K76" i="16"/>
  <c r="L65" i="16"/>
  <c r="L70" i="16"/>
  <c r="L71" i="16"/>
  <c r="K75" i="16"/>
  <c r="K66" i="16"/>
  <c r="K74" i="16"/>
  <c r="K73" i="16"/>
  <c r="K72" i="16"/>
  <c r="M67" i="16"/>
  <c r="M77" i="16"/>
  <c r="M68" i="16"/>
  <c r="M76" i="16"/>
  <c r="J143" i="16"/>
  <c r="K138" i="16"/>
  <c r="K136" i="16"/>
  <c r="K133" i="16"/>
  <c r="K140" i="16"/>
  <c r="K139" i="16"/>
  <c r="K142" i="16"/>
  <c r="K141" i="16"/>
  <c r="K135" i="16"/>
  <c r="K129" i="16"/>
  <c r="J130" i="16"/>
  <c r="K152" i="16"/>
  <c r="J158" i="16"/>
  <c r="J159" i="16" s="1"/>
  <c r="J125" i="16"/>
  <c r="I126" i="16"/>
  <c r="K157" i="16"/>
  <c r="K153" i="16"/>
  <c r="K154" i="16"/>
  <c r="K156" i="16"/>
  <c r="K148" i="16"/>
  <c r="K123" i="16"/>
  <c r="K149" i="16"/>
  <c r="K124" i="16"/>
  <c r="K119" i="16"/>
  <c r="K155" i="16"/>
  <c r="K147" i="16"/>
  <c r="K120" i="16"/>
  <c r="K150" i="16"/>
  <c r="K121" i="16"/>
  <c r="L116" i="16"/>
  <c r="K122" i="16"/>
  <c r="D134" i="16" l="1"/>
  <c r="W134" i="16"/>
  <c r="O134" i="16"/>
  <c r="U134" i="16"/>
  <c r="V134" i="16"/>
  <c r="Q134" i="16"/>
  <c r="R134" i="16"/>
  <c r="P134" i="16"/>
  <c r="N134" i="16"/>
  <c r="S134" i="16"/>
  <c r="X134" i="16"/>
  <c r="T134" i="16"/>
  <c r="D105" i="16"/>
  <c r="D111" i="16" s="1"/>
  <c r="C105" i="16" s="1"/>
  <c r="F133" i="16"/>
  <c r="J100" i="16"/>
  <c r="D136" i="16" s="1"/>
  <c r="K143" i="16"/>
  <c r="L141" i="16"/>
  <c r="L139" i="16"/>
  <c r="L136" i="16"/>
  <c r="L138" i="16"/>
  <c r="L140" i="16"/>
  <c r="L135" i="16"/>
  <c r="L142" i="16"/>
  <c r="L133" i="16"/>
  <c r="L129" i="16"/>
  <c r="L130" i="16" s="1"/>
  <c r="L152" i="16"/>
  <c r="J126" i="16"/>
  <c r="J127" i="16" s="1"/>
  <c r="K130" i="16"/>
  <c r="K158" i="16"/>
  <c r="K159" i="16" s="1"/>
  <c r="I127" i="16"/>
  <c r="K125" i="16"/>
  <c r="K126" i="16" s="1"/>
  <c r="K127" i="16" s="1"/>
  <c r="L154" i="16"/>
  <c r="L155" i="16"/>
  <c r="L157" i="16"/>
  <c r="L149" i="16"/>
  <c r="L124" i="16"/>
  <c r="L150" i="16"/>
  <c r="L153" i="16"/>
  <c r="L147" i="16"/>
  <c r="L120" i="16"/>
  <c r="L156" i="16"/>
  <c r="L148" i="16"/>
  <c r="L121" i="16"/>
  <c r="L122" i="16"/>
  <c r="L123" i="16"/>
  <c r="M116" i="16"/>
  <c r="L119" i="16"/>
  <c r="E134" i="16" l="1"/>
  <c r="D133" i="16"/>
  <c r="C110" i="16"/>
  <c r="C108" i="16"/>
  <c r="C107" i="16"/>
  <c r="C109" i="16"/>
  <c r="C106" i="16"/>
  <c r="F143" i="16"/>
  <c r="F144" i="16"/>
  <c r="F160" i="16" s="1"/>
  <c r="F161" i="16" s="1"/>
  <c r="F163" i="16" s="1"/>
  <c r="L143" i="16"/>
  <c r="M142" i="16"/>
  <c r="M135" i="16"/>
  <c r="M136" i="16"/>
  <c r="M139" i="16"/>
  <c r="M138" i="16"/>
  <c r="M133" i="16"/>
  <c r="M140" i="16"/>
  <c r="M141" i="16"/>
  <c r="K131" i="16"/>
  <c r="K144" i="16" s="1"/>
  <c r="K160" i="16" s="1"/>
  <c r="I131" i="16"/>
  <c r="I144" i="16" s="1"/>
  <c r="I160" i="16" s="1"/>
  <c r="J131" i="16"/>
  <c r="J144" i="16" s="1"/>
  <c r="J160" i="16" s="1"/>
  <c r="M152" i="16"/>
  <c r="M129" i="16"/>
  <c r="L158" i="16"/>
  <c r="L159" i="16" s="1"/>
  <c r="M155" i="16"/>
  <c r="M156" i="16"/>
  <c r="M150" i="16"/>
  <c r="M153" i="16"/>
  <c r="M147" i="16"/>
  <c r="M122" i="16"/>
  <c r="M154" i="16"/>
  <c r="M121" i="16"/>
  <c r="M157" i="16"/>
  <c r="M149" i="16"/>
  <c r="M123" i="16"/>
  <c r="M124" i="16"/>
  <c r="M119" i="16"/>
  <c r="N116" i="16"/>
  <c r="M120" i="16"/>
  <c r="L125" i="16"/>
  <c r="L126" i="16" s="1"/>
  <c r="L127" i="16" s="1"/>
  <c r="F164" i="16" l="1"/>
  <c r="F165" i="16" s="1"/>
  <c r="M144" i="16"/>
  <c r="C111" i="16"/>
  <c r="G161" i="16"/>
  <c r="M143" i="16"/>
  <c r="N142" i="16"/>
  <c r="N140" i="16"/>
  <c r="N138" i="16"/>
  <c r="N141" i="16"/>
  <c r="N135" i="16"/>
  <c r="N136" i="16"/>
  <c r="N139" i="16"/>
  <c r="N133" i="16"/>
  <c r="L131" i="16"/>
  <c r="L144" i="16" s="1"/>
  <c r="L160" i="16" s="1"/>
  <c r="N152" i="16"/>
  <c r="N129" i="16"/>
  <c r="M130" i="16"/>
  <c r="M158" i="16"/>
  <c r="M159" i="16" s="1"/>
  <c r="M125" i="16"/>
  <c r="M126" i="16" s="1"/>
  <c r="M127" i="16" s="1"/>
  <c r="N156" i="16"/>
  <c r="N157" i="16"/>
  <c r="N153" i="16"/>
  <c r="N147" i="16"/>
  <c r="N122" i="16"/>
  <c r="N154" i="16"/>
  <c r="N148" i="16"/>
  <c r="N123" i="16"/>
  <c r="N155" i="16"/>
  <c r="N149" i="16"/>
  <c r="N150" i="16"/>
  <c r="N119" i="16"/>
  <c r="N124" i="16"/>
  <c r="O116" i="16"/>
  <c r="N120" i="16"/>
  <c r="N121" i="16"/>
  <c r="G163" i="16" l="1"/>
  <c r="H161" i="16"/>
  <c r="N143" i="16"/>
  <c r="O140" i="16"/>
  <c r="O139" i="16"/>
  <c r="O133" i="16"/>
  <c r="O142" i="16"/>
  <c r="O141" i="16"/>
  <c r="O135" i="16"/>
  <c r="O136" i="16"/>
  <c r="O138" i="16"/>
  <c r="M160" i="16"/>
  <c r="O129" i="16"/>
  <c r="O130" i="16" s="1"/>
  <c r="N130" i="16"/>
  <c r="O152" i="16"/>
  <c r="N158" i="16"/>
  <c r="N159" i="16" s="1"/>
  <c r="N125" i="16"/>
  <c r="N126" i="16" s="1"/>
  <c r="N127" i="16" s="1"/>
  <c r="O157" i="16"/>
  <c r="O153" i="16"/>
  <c r="O154" i="16"/>
  <c r="O148" i="16"/>
  <c r="O123" i="16"/>
  <c r="O155" i="16"/>
  <c r="O149" i="16"/>
  <c r="O124" i="16"/>
  <c r="O156" i="16"/>
  <c r="O150" i="16"/>
  <c r="O119" i="16"/>
  <c r="O122" i="16"/>
  <c r="O120" i="16"/>
  <c r="P116" i="16"/>
  <c r="O147" i="16"/>
  <c r="O121" i="16"/>
  <c r="G164" i="16" l="1"/>
  <c r="G165" i="16" s="1"/>
  <c r="H163" i="16"/>
  <c r="I161" i="16"/>
  <c r="O143" i="16"/>
  <c r="P141" i="16"/>
  <c r="P139" i="16"/>
  <c r="P136" i="16"/>
  <c r="P138" i="16"/>
  <c r="P140" i="16"/>
  <c r="P142" i="16"/>
  <c r="P135" i="16"/>
  <c r="P133" i="16"/>
  <c r="N131" i="16"/>
  <c r="N144" i="16" s="1"/>
  <c r="N160" i="16" s="1"/>
  <c r="P152" i="16"/>
  <c r="P129" i="16"/>
  <c r="O158" i="16"/>
  <c r="O159" i="16" s="1"/>
  <c r="O125" i="16"/>
  <c r="O126" i="16" s="1"/>
  <c r="O127" i="16" s="1"/>
  <c r="P154" i="16"/>
  <c r="P155" i="16"/>
  <c r="P153" i="16"/>
  <c r="P149" i="16"/>
  <c r="P124" i="16"/>
  <c r="P156" i="16"/>
  <c r="P150" i="16"/>
  <c r="P157" i="16"/>
  <c r="P122" i="16"/>
  <c r="P120" i="16"/>
  <c r="P123" i="16"/>
  <c r="P121" i="16"/>
  <c r="P147" i="16"/>
  <c r="P119" i="16"/>
  <c r="P148" i="16"/>
  <c r="Q116" i="16"/>
  <c r="H164" i="16" l="1"/>
  <c r="H165" i="16" s="1"/>
  <c r="I163" i="16"/>
  <c r="J161" i="16"/>
  <c r="P143" i="16"/>
  <c r="Q136" i="16"/>
  <c r="Q135" i="16"/>
  <c r="Q139" i="16"/>
  <c r="Q138" i="16"/>
  <c r="Q141" i="16"/>
  <c r="Q140" i="16"/>
  <c r="Q133" i="16"/>
  <c r="Q142" i="16"/>
  <c r="O131" i="16"/>
  <c r="O144" i="16" s="1"/>
  <c r="O160" i="16" s="1"/>
  <c r="Q129" i="16"/>
  <c r="Q130" i="16" s="1"/>
  <c r="Q152" i="16"/>
  <c r="P130" i="16"/>
  <c r="P158" i="16"/>
  <c r="P159" i="16" s="1"/>
  <c r="P125" i="16"/>
  <c r="P126" i="16" s="1"/>
  <c r="P127" i="16" s="1"/>
  <c r="Q155" i="16"/>
  <c r="Q156" i="16"/>
  <c r="Q154" i="16"/>
  <c r="Q150" i="16"/>
  <c r="Q157" i="16"/>
  <c r="Q147" i="16"/>
  <c r="Q122" i="16"/>
  <c r="Q123" i="16"/>
  <c r="Q121" i="16"/>
  <c r="Q124" i="16"/>
  <c r="Q148" i="16"/>
  <c r="Q119" i="16"/>
  <c r="Q120" i="16"/>
  <c r="Q149" i="16"/>
  <c r="R116" i="16"/>
  <c r="Q153" i="16"/>
  <c r="I164" i="16" l="1"/>
  <c r="I165" i="16" s="1"/>
  <c r="J163" i="16"/>
  <c r="K161" i="16"/>
  <c r="Q143" i="16"/>
  <c r="R142" i="16"/>
  <c r="R140" i="16"/>
  <c r="R138" i="16"/>
  <c r="R136" i="16"/>
  <c r="R135" i="16"/>
  <c r="R139" i="16"/>
  <c r="R141" i="16"/>
  <c r="R133" i="16"/>
  <c r="P131" i="16"/>
  <c r="P144" i="16" s="1"/>
  <c r="P160" i="16" s="1"/>
  <c r="R152" i="16"/>
  <c r="R129" i="16"/>
  <c r="Q158" i="16"/>
  <c r="Q159" i="16" s="1"/>
  <c r="Q125" i="16"/>
  <c r="Q126" i="16" s="1"/>
  <c r="Q127" i="16" s="1"/>
  <c r="R156" i="16"/>
  <c r="R157" i="16"/>
  <c r="R153" i="16"/>
  <c r="R155" i="16"/>
  <c r="R147" i="16"/>
  <c r="R122" i="16"/>
  <c r="R148" i="16"/>
  <c r="R123" i="16"/>
  <c r="R124" i="16"/>
  <c r="R119" i="16"/>
  <c r="R149" i="16"/>
  <c r="R120" i="16"/>
  <c r="R121" i="16"/>
  <c r="S116" i="16"/>
  <c r="R150" i="16"/>
  <c r="R154" i="16"/>
  <c r="J164" i="16" l="1"/>
  <c r="J165" i="16" s="1"/>
  <c r="K163" i="16"/>
  <c r="L161" i="16"/>
  <c r="R143" i="16"/>
  <c r="S142" i="16"/>
  <c r="S141" i="16"/>
  <c r="S133" i="16"/>
  <c r="S138" i="16"/>
  <c r="S136" i="16"/>
  <c r="S135" i="16"/>
  <c r="S139" i="16"/>
  <c r="S140" i="16"/>
  <c r="Q131" i="16"/>
  <c r="Q144" i="16" s="1"/>
  <c r="Q160" i="16" s="1"/>
  <c r="S129" i="16"/>
  <c r="S130" i="16" s="1"/>
  <c r="R130" i="16"/>
  <c r="S152" i="16"/>
  <c r="R158" i="16"/>
  <c r="R159" i="16" s="1"/>
  <c r="R125" i="16"/>
  <c r="R126" i="16" s="1"/>
  <c r="R127" i="16" s="1"/>
  <c r="S157" i="16"/>
  <c r="S153" i="16"/>
  <c r="S154" i="16"/>
  <c r="S156" i="16"/>
  <c r="S148" i="16"/>
  <c r="S123" i="16"/>
  <c r="S149" i="16"/>
  <c r="S124" i="16"/>
  <c r="S119" i="16"/>
  <c r="S147" i="16"/>
  <c r="S120" i="16"/>
  <c r="S150" i="16"/>
  <c r="S121" i="16"/>
  <c r="T116" i="16"/>
  <c r="S122" i="16"/>
  <c r="S155" i="16"/>
  <c r="L163" i="16" l="1"/>
  <c r="M161" i="16"/>
  <c r="K164" i="16"/>
  <c r="K165" i="16" s="1"/>
  <c r="S143" i="16"/>
  <c r="T141" i="16"/>
  <c r="T139" i="16"/>
  <c r="T136" i="16"/>
  <c r="T140" i="16"/>
  <c r="T142" i="16"/>
  <c r="T133" i="16"/>
  <c r="T135" i="16"/>
  <c r="T138" i="16"/>
  <c r="R131" i="16"/>
  <c r="R144" i="16" s="1"/>
  <c r="R160" i="16" s="1"/>
  <c r="T152" i="16"/>
  <c r="T129" i="16"/>
  <c r="S158" i="16"/>
  <c r="S159" i="16" s="1"/>
  <c r="S125" i="16"/>
  <c r="S126" i="16" s="1"/>
  <c r="S127" i="16" s="1"/>
  <c r="T154" i="16"/>
  <c r="T155" i="16"/>
  <c r="T157" i="16"/>
  <c r="T149" i="16"/>
  <c r="T124" i="16"/>
  <c r="T150" i="16"/>
  <c r="T121" i="16"/>
  <c r="T147" i="16"/>
  <c r="T120" i="16"/>
  <c r="T148" i="16"/>
  <c r="T153" i="16"/>
  <c r="T122" i="16"/>
  <c r="T123" i="16"/>
  <c r="U116" i="16"/>
  <c r="T156" i="16"/>
  <c r="T119" i="16"/>
  <c r="L164" i="16" l="1"/>
  <c r="L165" i="16" s="1"/>
  <c r="M163" i="16"/>
  <c r="N161" i="16"/>
  <c r="T143" i="16"/>
  <c r="U139" i="16"/>
  <c r="U138" i="16"/>
  <c r="U135" i="16"/>
  <c r="U141" i="16"/>
  <c r="U140" i="16"/>
  <c r="U142" i="16"/>
  <c r="U133" i="16"/>
  <c r="U136" i="16"/>
  <c r="S131" i="16"/>
  <c r="S144" i="16" s="1"/>
  <c r="S160" i="16" s="1"/>
  <c r="U129" i="16"/>
  <c r="U130" i="16" s="1"/>
  <c r="T130" i="16"/>
  <c r="U152" i="16"/>
  <c r="T158" i="16"/>
  <c r="T159" i="16" s="1"/>
  <c r="T125" i="16"/>
  <c r="T126" i="16" s="1"/>
  <c r="T127" i="16" s="1"/>
  <c r="U155" i="16"/>
  <c r="U156" i="16"/>
  <c r="U150" i="16"/>
  <c r="U121" i="16"/>
  <c r="U153" i="16"/>
  <c r="U147" i="16"/>
  <c r="U122" i="16"/>
  <c r="U148" i="16"/>
  <c r="U149" i="16"/>
  <c r="U154" i="16"/>
  <c r="U123" i="16"/>
  <c r="U124" i="16"/>
  <c r="U119" i="16"/>
  <c r="V116" i="16"/>
  <c r="U157" i="16"/>
  <c r="U120" i="16"/>
  <c r="M164" i="16" l="1"/>
  <c r="M165" i="16" s="1"/>
  <c r="N163" i="16"/>
  <c r="O161" i="16"/>
  <c r="U143" i="16"/>
  <c r="V142" i="16"/>
  <c r="V140" i="16"/>
  <c r="V138" i="16"/>
  <c r="V136" i="16"/>
  <c r="V139" i="16"/>
  <c r="V135" i="16"/>
  <c r="V141" i="16"/>
  <c r="V133" i="16"/>
  <c r="T131" i="16"/>
  <c r="T144" i="16" s="1"/>
  <c r="T160" i="16" s="1"/>
  <c r="V152" i="16"/>
  <c r="V129" i="16"/>
  <c r="U158" i="16"/>
  <c r="U159" i="16" s="1"/>
  <c r="U125" i="16"/>
  <c r="U126" i="16" s="1"/>
  <c r="U127" i="16" s="1"/>
  <c r="V156" i="16"/>
  <c r="V157" i="16"/>
  <c r="V153" i="16"/>
  <c r="V147" i="16"/>
  <c r="V122" i="16"/>
  <c r="V154" i="16"/>
  <c r="V148" i="16"/>
  <c r="V123" i="16"/>
  <c r="V149" i="16"/>
  <c r="V150" i="16"/>
  <c r="V121" i="16"/>
  <c r="V119" i="16"/>
  <c r="V155" i="16"/>
  <c r="V124" i="16"/>
  <c r="W116" i="16"/>
  <c r="V120" i="16"/>
  <c r="N164" i="16" l="1"/>
  <c r="N165" i="16" s="1"/>
  <c r="O163" i="16"/>
  <c r="P161" i="16"/>
  <c r="V143" i="16"/>
  <c r="W133" i="16"/>
  <c r="W138" i="16"/>
  <c r="W136" i="16"/>
  <c r="W140" i="16"/>
  <c r="W139" i="16"/>
  <c r="W135" i="16"/>
  <c r="W141" i="16"/>
  <c r="W142" i="16"/>
  <c r="U131" i="16"/>
  <c r="U144" i="16" s="1"/>
  <c r="U160" i="16" s="1"/>
  <c r="W129" i="16"/>
  <c r="W130" i="16" s="1"/>
  <c r="V130" i="16"/>
  <c r="W152" i="16"/>
  <c r="V158" i="16"/>
  <c r="V159" i="16" s="1"/>
  <c r="W157" i="16"/>
  <c r="W153" i="16"/>
  <c r="W154" i="16"/>
  <c r="W148" i="16"/>
  <c r="W123" i="16"/>
  <c r="W155" i="16"/>
  <c r="W149" i="16"/>
  <c r="W124" i="16"/>
  <c r="W150" i="16"/>
  <c r="W121" i="16"/>
  <c r="W119" i="16"/>
  <c r="W122" i="16"/>
  <c r="W120" i="16"/>
  <c r="W156" i="16"/>
  <c r="X116" i="16"/>
  <c r="W147" i="16"/>
  <c r="V125" i="16"/>
  <c r="V126" i="16" s="1"/>
  <c r="V127" i="16" s="1"/>
  <c r="O164" i="16" l="1"/>
  <c r="O165" i="16" s="1"/>
  <c r="P163" i="16"/>
  <c r="Q161" i="16"/>
  <c r="W143" i="16"/>
  <c r="X141" i="16"/>
  <c r="X139" i="16"/>
  <c r="X136" i="16"/>
  <c r="X142" i="16"/>
  <c r="X138" i="16"/>
  <c r="X133" i="16"/>
  <c r="X140" i="16"/>
  <c r="X135" i="16"/>
  <c r="V131" i="16"/>
  <c r="V144" i="16" s="1"/>
  <c r="V160" i="16" s="1"/>
  <c r="X152" i="16"/>
  <c r="X129" i="16"/>
  <c r="W158" i="16"/>
  <c r="W159" i="16" s="1"/>
  <c r="W125" i="16"/>
  <c r="W126" i="16" s="1"/>
  <c r="W127" i="16" s="1"/>
  <c r="X154" i="16"/>
  <c r="X155" i="16"/>
  <c r="X153" i="16"/>
  <c r="X149" i="16"/>
  <c r="X124" i="16"/>
  <c r="X156" i="16"/>
  <c r="X150" i="16"/>
  <c r="X121" i="16"/>
  <c r="X122" i="16"/>
  <c r="X120" i="16"/>
  <c r="X123" i="16"/>
  <c r="X157" i="16"/>
  <c r="X147" i="16"/>
  <c r="X148" i="16"/>
  <c r="X119" i="16"/>
  <c r="Y116" i="16"/>
  <c r="P164" i="16" l="1"/>
  <c r="P165" i="16" s="1"/>
  <c r="Q163" i="16"/>
  <c r="R161" i="16"/>
  <c r="X125" i="16"/>
  <c r="X126" i="16" s="1"/>
  <c r="X127" i="16" s="1"/>
  <c r="X143" i="16"/>
  <c r="Y141" i="16"/>
  <c r="Y140" i="16"/>
  <c r="Y135" i="16"/>
  <c r="Y142" i="16"/>
  <c r="Y136" i="16"/>
  <c r="Y133" i="16"/>
  <c r="Y138" i="16"/>
  <c r="Y139" i="16"/>
  <c r="W131" i="16"/>
  <c r="W144" i="16" s="1"/>
  <c r="W160" i="16" s="1"/>
  <c r="Y129" i="16"/>
  <c r="Y130" i="16" s="1"/>
  <c r="X130" i="16"/>
  <c r="Y152" i="16"/>
  <c r="X158" i="16"/>
  <c r="X159" i="16" s="1"/>
  <c r="Y155" i="16"/>
  <c r="Y156" i="16"/>
  <c r="Y154" i="16"/>
  <c r="Y150" i="16"/>
  <c r="Y121" i="16"/>
  <c r="Y157" i="16"/>
  <c r="Y147" i="16"/>
  <c r="Y122" i="16"/>
  <c r="Y123" i="16"/>
  <c r="Y153" i="16"/>
  <c r="Y124" i="16"/>
  <c r="Y148" i="16"/>
  <c r="Y119" i="16"/>
  <c r="Y149" i="16"/>
  <c r="Y120" i="16"/>
  <c r="Z116" i="16"/>
  <c r="Q164" i="16" l="1"/>
  <c r="Q165" i="16" s="1"/>
  <c r="R163" i="16"/>
  <c r="S161" i="16"/>
  <c r="Y143" i="16"/>
  <c r="Z142" i="16"/>
  <c r="Z140" i="16"/>
  <c r="Z138" i="16"/>
  <c r="Z139" i="16"/>
  <c r="Z141" i="16"/>
  <c r="Z135" i="16"/>
  <c r="Z133" i="16"/>
  <c r="Z136" i="16"/>
  <c r="X131" i="16"/>
  <c r="X144" i="16" s="1"/>
  <c r="X160" i="16" s="1"/>
  <c r="Z152" i="16"/>
  <c r="Z129" i="16"/>
  <c r="Y158" i="16"/>
  <c r="Y159" i="16" s="1"/>
  <c r="Y125" i="16"/>
  <c r="Y126" i="16" s="1"/>
  <c r="Y127" i="16" s="1"/>
  <c r="Z156" i="16"/>
  <c r="Z157" i="16"/>
  <c r="Z153" i="16"/>
  <c r="Z155" i="16"/>
  <c r="Z147" i="16"/>
  <c r="Z122" i="16"/>
  <c r="Z148" i="16"/>
  <c r="Z123" i="16"/>
  <c r="Z124" i="16"/>
  <c r="Z154" i="16"/>
  <c r="Z119" i="16"/>
  <c r="Z149" i="16"/>
  <c r="Z120" i="16"/>
  <c r="Z150" i="16"/>
  <c r="AA116" i="16"/>
  <c r="Z121" i="16"/>
  <c r="R164" i="16" l="1"/>
  <c r="R165" i="16" s="1"/>
  <c r="S163" i="16"/>
  <c r="T161" i="16"/>
  <c r="Z143" i="16"/>
  <c r="AA138" i="16"/>
  <c r="AA136" i="16"/>
  <c r="AA140" i="16"/>
  <c r="AA139" i="16"/>
  <c r="AA142" i="16"/>
  <c r="AA141" i="16"/>
  <c r="AA135" i="16"/>
  <c r="AA133" i="16"/>
  <c r="Y131" i="16"/>
  <c r="Y144" i="16" s="1"/>
  <c r="Y160" i="16" s="1"/>
  <c r="AA129" i="16"/>
  <c r="AA130" i="16" s="1"/>
  <c r="Z130" i="16"/>
  <c r="AA152" i="16"/>
  <c r="Z158" i="16"/>
  <c r="Z159" i="16" s="1"/>
  <c r="Z125" i="16"/>
  <c r="Z126" i="16" s="1"/>
  <c r="Z127" i="16" s="1"/>
  <c r="AA157" i="16"/>
  <c r="AA153" i="16"/>
  <c r="AA154" i="16"/>
  <c r="AA156" i="16"/>
  <c r="AA148" i="16"/>
  <c r="AA123" i="16"/>
  <c r="AA149" i="16"/>
  <c r="AA124" i="16"/>
  <c r="AA119" i="16"/>
  <c r="AA155" i="16"/>
  <c r="AA147" i="16"/>
  <c r="AA120" i="16"/>
  <c r="AA150" i="16"/>
  <c r="AA122" i="16"/>
  <c r="AB116" i="16"/>
  <c r="AA121" i="16"/>
  <c r="S164" i="16" l="1"/>
  <c r="S165" i="16" s="1"/>
  <c r="T163" i="16"/>
  <c r="U161" i="16"/>
  <c r="AA143" i="16"/>
  <c r="AB141" i="16"/>
  <c r="AB139" i="16"/>
  <c r="AB136" i="16"/>
  <c r="AB138" i="16"/>
  <c r="AB140" i="16"/>
  <c r="AB135" i="16"/>
  <c r="AB133" i="16"/>
  <c r="AB142" i="16"/>
  <c r="Z131" i="16"/>
  <c r="Z144" i="16" s="1"/>
  <c r="Z160" i="16" s="1"/>
  <c r="AB152" i="16"/>
  <c r="AB129" i="16"/>
  <c r="AA158" i="16"/>
  <c r="AA159" i="16" s="1"/>
  <c r="AA125" i="16"/>
  <c r="AA126" i="16" s="1"/>
  <c r="AA127" i="16" s="1"/>
  <c r="AB154" i="16"/>
  <c r="AB155" i="16"/>
  <c r="AB157" i="16"/>
  <c r="AB149" i="16"/>
  <c r="AB124" i="16"/>
  <c r="AB150" i="16"/>
  <c r="AB121" i="16"/>
  <c r="AB153" i="16"/>
  <c r="AB147" i="16"/>
  <c r="AB120" i="16"/>
  <c r="AB156" i="16"/>
  <c r="AB148" i="16"/>
  <c r="AB122" i="16"/>
  <c r="AB123" i="16"/>
  <c r="AB119" i="16"/>
  <c r="AC116" i="16"/>
  <c r="T164" i="16" l="1"/>
  <c r="T165" i="16" s="1"/>
  <c r="U163" i="16"/>
  <c r="V161" i="16"/>
  <c r="AB143" i="16"/>
  <c r="AC142" i="16"/>
  <c r="AC135" i="16"/>
  <c r="AC136" i="16"/>
  <c r="AC139" i="16"/>
  <c r="AC138" i="16"/>
  <c r="AC140" i="16"/>
  <c r="AC141" i="16"/>
  <c r="AC133" i="16"/>
  <c r="AA131" i="16"/>
  <c r="AA144" i="16" s="1"/>
  <c r="AA160" i="16" s="1"/>
  <c r="AC152" i="16"/>
  <c r="AC129" i="16"/>
  <c r="AB130" i="16"/>
  <c r="AB158" i="16"/>
  <c r="AB159" i="16" s="1"/>
  <c r="AC155" i="16"/>
  <c r="AC156" i="16"/>
  <c r="AC150" i="16"/>
  <c r="AC121" i="16"/>
  <c r="AC153" i="16"/>
  <c r="AC147" i="16"/>
  <c r="AC122" i="16"/>
  <c r="AC154" i="16"/>
  <c r="AC148" i="16"/>
  <c r="AC157" i="16"/>
  <c r="AC149" i="16"/>
  <c r="AC123" i="16"/>
  <c r="AC124" i="16"/>
  <c r="AC119" i="16"/>
  <c r="AD116" i="16"/>
  <c r="AC120" i="16"/>
  <c r="AB125" i="16"/>
  <c r="AB126" i="16" s="1"/>
  <c r="AB127" i="16" s="1"/>
  <c r="U164" i="16" l="1"/>
  <c r="U165" i="16" s="1"/>
  <c r="V163" i="16"/>
  <c r="W161" i="16"/>
  <c r="AC143" i="16"/>
  <c r="AD142" i="16"/>
  <c r="AD140" i="16"/>
  <c r="AD138" i="16"/>
  <c r="AD141" i="16"/>
  <c r="AD135" i="16"/>
  <c r="AD136" i="16"/>
  <c r="AD139" i="16"/>
  <c r="AD133" i="16"/>
  <c r="AB131" i="16"/>
  <c r="AB144" i="16" s="1"/>
  <c r="AB160" i="16" s="1"/>
  <c r="AD129" i="16"/>
  <c r="AD130" i="16" s="1"/>
  <c r="AC130" i="16"/>
  <c r="AD152" i="16"/>
  <c r="AC158" i="16"/>
  <c r="AC159" i="16" s="1"/>
  <c r="AC125" i="16"/>
  <c r="AC126" i="16" s="1"/>
  <c r="AC127" i="16" s="1"/>
  <c r="AD156" i="16"/>
  <c r="AD157" i="16"/>
  <c r="AD153" i="16"/>
  <c r="AD147" i="16"/>
  <c r="AD122" i="16"/>
  <c r="AD154" i="16"/>
  <c r="AD148" i="16"/>
  <c r="AD123" i="16"/>
  <c r="AD155" i="16"/>
  <c r="AD149" i="16"/>
  <c r="AD150" i="16"/>
  <c r="AD121" i="16"/>
  <c r="AD119" i="16"/>
  <c r="AD124" i="16"/>
  <c r="AE116" i="16"/>
  <c r="AD120" i="16"/>
  <c r="V164" i="16" l="1"/>
  <c r="V165" i="16" s="1"/>
  <c r="W163" i="16"/>
  <c r="X161" i="16"/>
  <c r="AD143" i="16"/>
  <c r="AE140" i="16"/>
  <c r="AE139" i="16"/>
  <c r="AE142" i="16"/>
  <c r="AE141" i="16"/>
  <c r="AE135" i="16"/>
  <c r="AE136" i="16"/>
  <c r="AE138" i="16"/>
  <c r="AE133" i="16"/>
  <c r="AC131" i="16"/>
  <c r="AC144" i="16" s="1"/>
  <c r="AC160" i="16" s="1"/>
  <c r="AE152" i="16"/>
  <c r="AE129" i="16"/>
  <c r="AD158" i="16"/>
  <c r="AD159" i="16" s="1"/>
  <c r="AD125" i="16"/>
  <c r="AD126" i="16" s="1"/>
  <c r="AD127" i="16" s="1"/>
  <c r="AE157" i="16"/>
  <c r="AE153" i="16"/>
  <c r="AE154" i="16"/>
  <c r="AE148" i="16"/>
  <c r="AE123" i="16"/>
  <c r="AE155" i="16"/>
  <c r="AE149" i="16"/>
  <c r="AE124" i="16"/>
  <c r="AE156" i="16"/>
  <c r="AE150" i="16"/>
  <c r="AE121" i="16"/>
  <c r="AE119" i="16"/>
  <c r="AE122" i="16"/>
  <c r="AE120" i="16"/>
  <c r="AE147" i="16"/>
  <c r="AF116" i="16"/>
  <c r="W164" i="16" l="1"/>
  <c r="W165" i="16" s="1"/>
  <c r="X163" i="16"/>
  <c r="Y161" i="16"/>
  <c r="AE143" i="16"/>
  <c r="AF141" i="16"/>
  <c r="AF139" i="16"/>
  <c r="AF136" i="16"/>
  <c r="AF138" i="16"/>
  <c r="AF140" i="16"/>
  <c r="AF142" i="16"/>
  <c r="AF133" i="16"/>
  <c r="AF135" i="16"/>
  <c r="AD131" i="16"/>
  <c r="AD144" i="16" s="1"/>
  <c r="AD160" i="16" s="1"/>
  <c r="AF129" i="16"/>
  <c r="AF130" i="16" s="1"/>
  <c r="AE130" i="16"/>
  <c r="AF152" i="16"/>
  <c r="AE158" i="16"/>
  <c r="AE159" i="16" s="1"/>
  <c r="AE125" i="16"/>
  <c r="AE126" i="16" s="1"/>
  <c r="AE127" i="16" s="1"/>
  <c r="AF154" i="16"/>
  <c r="AF155" i="16"/>
  <c r="AF153" i="16"/>
  <c r="AF149" i="16"/>
  <c r="AF124" i="16"/>
  <c r="AF156" i="16"/>
  <c r="AF150" i="16"/>
  <c r="AF121" i="16"/>
  <c r="AF157" i="16"/>
  <c r="AF122" i="16"/>
  <c r="AF120" i="16"/>
  <c r="AF123" i="16"/>
  <c r="AF147" i="16"/>
  <c r="AF148" i="16"/>
  <c r="AF119" i="16"/>
  <c r="AG116" i="16"/>
  <c r="X164" i="16" l="1"/>
  <c r="X165" i="16" s="1"/>
  <c r="Y163" i="16"/>
  <c r="Z161" i="16"/>
  <c r="AF143" i="16"/>
  <c r="AG136" i="16"/>
  <c r="AG135" i="16"/>
  <c r="AG139" i="16"/>
  <c r="AG138" i="16"/>
  <c r="AG141" i="16"/>
  <c r="AG140" i="16"/>
  <c r="AG133" i="16"/>
  <c r="AG142" i="16"/>
  <c r="AE131" i="16"/>
  <c r="AE144" i="16" s="1"/>
  <c r="AE160" i="16" s="1"/>
  <c r="AG129" i="16"/>
  <c r="AG130" i="16" s="1"/>
  <c r="AG152" i="16"/>
  <c r="AF158" i="16"/>
  <c r="AF159" i="16" s="1"/>
  <c r="AG155" i="16"/>
  <c r="AG156" i="16"/>
  <c r="AG154" i="16"/>
  <c r="AG150" i="16"/>
  <c r="AG121" i="16"/>
  <c r="AG157" i="16"/>
  <c r="AG147" i="16"/>
  <c r="AG122" i="16"/>
  <c r="AG123" i="16"/>
  <c r="AG124" i="16"/>
  <c r="AG148" i="16"/>
  <c r="AG149" i="16"/>
  <c r="AG119" i="16"/>
  <c r="AG120" i="16"/>
  <c r="AG153" i="16"/>
  <c r="AH116" i="16"/>
  <c r="AF125" i="16"/>
  <c r="AF126" i="16" s="1"/>
  <c r="AF127" i="16" s="1"/>
  <c r="Z163" i="16" l="1"/>
  <c r="AA161" i="16"/>
  <c r="Y164" i="16"/>
  <c r="Y165" i="16" s="1"/>
  <c r="AG143" i="16"/>
  <c r="AH142" i="16"/>
  <c r="AH140" i="16"/>
  <c r="AH138" i="16"/>
  <c r="AH136" i="16"/>
  <c r="AH135" i="16"/>
  <c r="AH139" i="16"/>
  <c r="AH141" i="16"/>
  <c r="AH133" i="16"/>
  <c r="AF131" i="16"/>
  <c r="AF144" i="16" s="1"/>
  <c r="AF160" i="16" s="1"/>
  <c r="AH152" i="16"/>
  <c r="AH129" i="16"/>
  <c r="AG158" i="16"/>
  <c r="AG159" i="16" s="1"/>
  <c r="AH156" i="16"/>
  <c r="AH157" i="16"/>
  <c r="AH153" i="16"/>
  <c r="AH155" i="16"/>
  <c r="AH147" i="16"/>
  <c r="AH122" i="16"/>
  <c r="AH148" i="16"/>
  <c r="AH123" i="16"/>
  <c r="AH124" i="16"/>
  <c r="AH119" i="16"/>
  <c r="AH149" i="16"/>
  <c r="AH150" i="16"/>
  <c r="AH120" i="16"/>
  <c r="AH121" i="16"/>
  <c r="AI116" i="16"/>
  <c r="AH154" i="16"/>
  <c r="AG125" i="16"/>
  <c r="AG126" i="16" s="1"/>
  <c r="AG127" i="16" s="1"/>
  <c r="AA163" i="16" l="1"/>
  <c r="AB161" i="16"/>
  <c r="Z164" i="16"/>
  <c r="Z165" i="16" s="1"/>
  <c r="AH143" i="16"/>
  <c r="AI142" i="16"/>
  <c r="AI141" i="16"/>
  <c r="AI138" i="16"/>
  <c r="AI136" i="16"/>
  <c r="AI135" i="16"/>
  <c r="AI133" i="16"/>
  <c r="AI140" i="16"/>
  <c r="AI139" i="16"/>
  <c r="AG131" i="16"/>
  <c r="AG144" i="16" s="1"/>
  <c r="AG160" i="16" s="1"/>
  <c r="AI129" i="16"/>
  <c r="AI130" i="16" s="1"/>
  <c r="AI152" i="16"/>
  <c r="AH130" i="16"/>
  <c r="AH158" i="16"/>
  <c r="AH159" i="16" s="1"/>
  <c r="AH125" i="16"/>
  <c r="AH126" i="16" s="1"/>
  <c r="AH127" i="16" s="1"/>
  <c r="AI157" i="16"/>
  <c r="AI153" i="16"/>
  <c r="AI154" i="16"/>
  <c r="AI156" i="16"/>
  <c r="AI148" i="16"/>
  <c r="AI123" i="16"/>
  <c r="AI149" i="16"/>
  <c r="AI124" i="16"/>
  <c r="AI119" i="16"/>
  <c r="AI147" i="16"/>
  <c r="AI120" i="16"/>
  <c r="AI150" i="16"/>
  <c r="AI121" i="16"/>
  <c r="AJ116" i="16"/>
  <c r="AI155" i="16"/>
  <c r="AI122" i="16"/>
  <c r="AB163" i="16" l="1"/>
  <c r="AC161" i="16"/>
  <c r="AA164" i="16"/>
  <c r="AA165" i="16" s="1"/>
  <c r="AI143" i="16"/>
  <c r="AJ141" i="16"/>
  <c r="AJ139" i="16"/>
  <c r="AJ136" i="16"/>
  <c r="AJ140" i="16"/>
  <c r="AJ142" i="16"/>
  <c r="AJ133" i="16"/>
  <c r="AJ138" i="16"/>
  <c r="AJ135" i="16"/>
  <c r="AH131" i="16"/>
  <c r="AH144" i="16" s="1"/>
  <c r="AH160" i="16" s="1"/>
  <c r="AJ129" i="16"/>
  <c r="AJ130" i="16" s="1"/>
  <c r="AJ152" i="16"/>
  <c r="AI158" i="16"/>
  <c r="AI159" i="16" s="1"/>
  <c r="AI125" i="16"/>
  <c r="AI126" i="16" s="1"/>
  <c r="AI127" i="16" s="1"/>
  <c r="AJ154" i="16"/>
  <c r="AJ155" i="16"/>
  <c r="AJ157" i="16"/>
  <c r="AJ149" i="16"/>
  <c r="AJ124" i="16"/>
  <c r="AJ150" i="16"/>
  <c r="AJ121" i="16"/>
  <c r="AJ147" i="16"/>
  <c r="AJ120" i="16"/>
  <c r="AJ148" i="16"/>
  <c r="AJ153" i="16"/>
  <c r="AJ122" i="16"/>
  <c r="AJ156" i="16"/>
  <c r="AJ119" i="16"/>
  <c r="AK116" i="16"/>
  <c r="AJ123" i="16"/>
  <c r="AC163" i="16" l="1"/>
  <c r="AD161" i="16"/>
  <c r="AB164" i="16"/>
  <c r="AB165" i="16" s="1"/>
  <c r="AJ143" i="16"/>
  <c r="AK139" i="16"/>
  <c r="AK138" i="16"/>
  <c r="AK135" i="16"/>
  <c r="AK141" i="16"/>
  <c r="AK140" i="16"/>
  <c r="AK142" i="16"/>
  <c r="AK136" i="16"/>
  <c r="AK133" i="16"/>
  <c r="AI131" i="16"/>
  <c r="AI144" i="16" s="1"/>
  <c r="AI160" i="16" s="1"/>
  <c r="AK152" i="16"/>
  <c r="AK129" i="16"/>
  <c r="AJ158" i="16"/>
  <c r="AJ159" i="16" s="1"/>
  <c r="AK155" i="16"/>
  <c r="AK156" i="16"/>
  <c r="AK150" i="16"/>
  <c r="AK121" i="16"/>
  <c r="AK153" i="16"/>
  <c r="AK147" i="16"/>
  <c r="AK122" i="16"/>
  <c r="AK148" i="16"/>
  <c r="AK149" i="16"/>
  <c r="AK154" i="16"/>
  <c r="AK123" i="16"/>
  <c r="AK157" i="16"/>
  <c r="AK119" i="16"/>
  <c r="AL116" i="16"/>
  <c r="AK120" i="16"/>
  <c r="AK124" i="16"/>
  <c r="AJ125" i="16"/>
  <c r="AJ126" i="16" s="1"/>
  <c r="AJ127" i="16" s="1"/>
  <c r="AC164" i="16" l="1"/>
  <c r="AC165" i="16" s="1"/>
  <c r="AD163" i="16"/>
  <c r="AE161" i="16"/>
  <c r="AK143" i="16"/>
  <c r="AL142" i="16"/>
  <c r="AL140" i="16"/>
  <c r="AL138" i="16"/>
  <c r="AL136" i="16"/>
  <c r="AL139" i="16"/>
  <c r="AL141" i="16"/>
  <c r="AL133" i="16"/>
  <c r="AL135" i="16"/>
  <c r="AJ131" i="16"/>
  <c r="AJ144" i="16" s="1"/>
  <c r="AJ160" i="16" s="1"/>
  <c r="AL129" i="16"/>
  <c r="AL130" i="16" s="1"/>
  <c r="AK130" i="16"/>
  <c r="AL152" i="16"/>
  <c r="AK158" i="16"/>
  <c r="AK159" i="16" s="1"/>
  <c r="AK125" i="16"/>
  <c r="AK126" i="16" s="1"/>
  <c r="AK127" i="16" s="1"/>
  <c r="AL156" i="16"/>
  <c r="AL157" i="16"/>
  <c r="AL153" i="16"/>
  <c r="AL147" i="16"/>
  <c r="AL122" i="16"/>
  <c r="AL154" i="16"/>
  <c r="AL148" i="16"/>
  <c r="AL123" i="16"/>
  <c r="AL149" i="16"/>
  <c r="AL150" i="16"/>
  <c r="AL121" i="16"/>
  <c r="AL119" i="16"/>
  <c r="AL155" i="16"/>
  <c r="AL124" i="16"/>
  <c r="AM116" i="16"/>
  <c r="AL120" i="16"/>
  <c r="AD164" i="16" l="1"/>
  <c r="AD165" i="16" s="1"/>
  <c r="AE163" i="16"/>
  <c r="AF161" i="16"/>
  <c r="AL143" i="16"/>
  <c r="AM138" i="16"/>
  <c r="AM136" i="16"/>
  <c r="AM140" i="16"/>
  <c r="AM139" i="16"/>
  <c r="AM135" i="16"/>
  <c r="AM142" i="16"/>
  <c r="AM133" i="16"/>
  <c r="AM141" i="16"/>
  <c r="AK131" i="16"/>
  <c r="AK144" i="16" s="1"/>
  <c r="AK160" i="16" s="1"/>
  <c r="AM152" i="16"/>
  <c r="AM129" i="16"/>
  <c r="AL158" i="16"/>
  <c r="AL159" i="16" s="1"/>
  <c r="AM157" i="16"/>
  <c r="AM153" i="16"/>
  <c r="AM154" i="16"/>
  <c r="AM148" i="16"/>
  <c r="AM123" i="16"/>
  <c r="AM155" i="16"/>
  <c r="AM149" i="16"/>
  <c r="AM124" i="16"/>
  <c r="AM150" i="16"/>
  <c r="AM121" i="16"/>
  <c r="AM119" i="16"/>
  <c r="AM122" i="16"/>
  <c r="AM120" i="16"/>
  <c r="AM156" i="16"/>
  <c r="AN116" i="16"/>
  <c r="AM147" i="16"/>
  <c r="AL125" i="16"/>
  <c r="AL126" i="16" s="1"/>
  <c r="AL127" i="16" s="1"/>
  <c r="AF163" i="16" l="1"/>
  <c r="AG161" i="16"/>
  <c r="AE164" i="16"/>
  <c r="AE165" i="16" s="1"/>
  <c r="AM143" i="16"/>
  <c r="AN141" i="16"/>
  <c r="AN139" i="16"/>
  <c r="AN136" i="16"/>
  <c r="AN142" i="16"/>
  <c r="AN138" i="16"/>
  <c r="AN135" i="16"/>
  <c r="AN133" i="16"/>
  <c r="AN140" i="16"/>
  <c r="AL131" i="16"/>
  <c r="AL144" i="16" s="1"/>
  <c r="AL160" i="16" s="1"/>
  <c r="AN152" i="16"/>
  <c r="AN129" i="16"/>
  <c r="AM130" i="16"/>
  <c r="AM158" i="16"/>
  <c r="AM159" i="16" s="1"/>
  <c r="AN154" i="16"/>
  <c r="AN155" i="16"/>
  <c r="AN153" i="16"/>
  <c r="AN149" i="16"/>
  <c r="AN124" i="16"/>
  <c r="AN156" i="16"/>
  <c r="AN150" i="16"/>
  <c r="AN121" i="16"/>
  <c r="AN122" i="16"/>
  <c r="AN120" i="16"/>
  <c r="AN123" i="16"/>
  <c r="AO116" i="16"/>
  <c r="AN157" i="16"/>
  <c r="AN147" i="16"/>
  <c r="AN119" i="16"/>
  <c r="AN148" i="16"/>
  <c r="AM125" i="16"/>
  <c r="AM126" i="16" s="1"/>
  <c r="AM127" i="16" s="1"/>
  <c r="AG163" i="16" l="1"/>
  <c r="AH161" i="16"/>
  <c r="AF164" i="16"/>
  <c r="AF165" i="16" s="1"/>
  <c r="AN143" i="16"/>
  <c r="AO141" i="16"/>
  <c r="AO140" i="16"/>
  <c r="AO135" i="16"/>
  <c r="AO142" i="16"/>
  <c r="AO136" i="16"/>
  <c r="AO138" i="16"/>
  <c r="AO139" i="16"/>
  <c r="AO133" i="16"/>
  <c r="AM131" i="16"/>
  <c r="AM144" i="16" s="1"/>
  <c r="AM160" i="16" s="1"/>
  <c r="AO152" i="16"/>
  <c r="AO129" i="16"/>
  <c r="AN130" i="16"/>
  <c r="AN158" i="16"/>
  <c r="AN159" i="16" s="1"/>
  <c r="AO155" i="16"/>
  <c r="AO156" i="16"/>
  <c r="AO154" i="16"/>
  <c r="AO150" i="16"/>
  <c r="AO121" i="16"/>
  <c r="AO157" i="16"/>
  <c r="AO147" i="16"/>
  <c r="AO122" i="16"/>
  <c r="AO123" i="16"/>
  <c r="AP116" i="16"/>
  <c r="AO153" i="16"/>
  <c r="AO124" i="16"/>
  <c r="AO148" i="16"/>
  <c r="AO119" i="16"/>
  <c r="AO120" i="16"/>
  <c r="AO149" i="16"/>
  <c r="AN125" i="16"/>
  <c r="AN126" i="16" s="1"/>
  <c r="AN127" i="16" s="1"/>
  <c r="AH163" i="16" l="1"/>
  <c r="AI161" i="16"/>
  <c r="AG164" i="16"/>
  <c r="AG165" i="16" s="1"/>
  <c r="AO143" i="16"/>
  <c r="AP142" i="16"/>
  <c r="AP140" i="16"/>
  <c r="AP138" i="16"/>
  <c r="AP139" i="16"/>
  <c r="AP141" i="16"/>
  <c r="AP135" i="16"/>
  <c r="AP136" i="16"/>
  <c r="AP133" i="16"/>
  <c r="AN131" i="16"/>
  <c r="AN144" i="16" s="1"/>
  <c r="AN160" i="16" s="1"/>
  <c r="AP129" i="16"/>
  <c r="AP130" i="16" s="1"/>
  <c r="AP152" i="16"/>
  <c r="AO130" i="16"/>
  <c r="AO158" i="16"/>
  <c r="AO159" i="16" s="1"/>
  <c r="AO125" i="16"/>
  <c r="AO126" i="16" s="1"/>
  <c r="AO127" i="16" s="1"/>
  <c r="AP156" i="16"/>
  <c r="AP157" i="16"/>
  <c r="AP153" i="16"/>
  <c r="AP155" i="16"/>
  <c r="AP147" i="16"/>
  <c r="AP122" i="16"/>
  <c r="AP148" i="16"/>
  <c r="AP123" i="16"/>
  <c r="AP124" i="16"/>
  <c r="AP154" i="16"/>
  <c r="AP119" i="16"/>
  <c r="AP149" i="16"/>
  <c r="AP120" i="16"/>
  <c r="AP150" i="16"/>
  <c r="AP121" i="16"/>
  <c r="AQ116" i="16"/>
  <c r="AI163" i="16" l="1"/>
  <c r="AJ161" i="16"/>
  <c r="AH164" i="16"/>
  <c r="AH165" i="16" s="1"/>
  <c r="AP143" i="16"/>
  <c r="AQ138" i="16"/>
  <c r="AQ136" i="16"/>
  <c r="AQ140" i="16"/>
  <c r="AQ139" i="16"/>
  <c r="AQ142" i="16"/>
  <c r="AQ141" i="16"/>
  <c r="AQ135" i="16"/>
  <c r="AQ133" i="16"/>
  <c r="AO131" i="16"/>
  <c r="AO144" i="16" s="1"/>
  <c r="AO160" i="16" s="1"/>
  <c r="AQ152" i="16"/>
  <c r="AQ129" i="16"/>
  <c r="AP158" i="16"/>
  <c r="AP159" i="16" s="1"/>
  <c r="AQ157" i="16"/>
  <c r="AQ153" i="16"/>
  <c r="AQ154" i="16"/>
  <c r="AQ156" i="16"/>
  <c r="AQ148" i="16"/>
  <c r="AQ123" i="16"/>
  <c r="AQ149" i="16"/>
  <c r="AQ124" i="16"/>
  <c r="AQ119" i="16"/>
  <c r="AQ155" i="16"/>
  <c r="AQ147" i="16"/>
  <c r="AQ120" i="16"/>
  <c r="AQ150" i="16"/>
  <c r="AQ122" i="16"/>
  <c r="AQ121" i="16"/>
  <c r="AR116" i="16"/>
  <c r="AP125" i="16"/>
  <c r="AP126" i="16" s="1"/>
  <c r="AP127" i="16" s="1"/>
  <c r="AJ163" i="16" l="1"/>
  <c r="AK161" i="16"/>
  <c r="AI164" i="16"/>
  <c r="AI165" i="16" s="1"/>
  <c r="AQ143" i="16"/>
  <c r="AR141" i="16"/>
  <c r="AR139" i="16"/>
  <c r="AR136" i="16"/>
  <c r="AR138" i="16"/>
  <c r="AR140" i="16"/>
  <c r="AR142" i="16"/>
  <c r="AR133" i="16"/>
  <c r="AR135" i="16"/>
  <c r="AP131" i="16"/>
  <c r="AP144" i="16" s="1"/>
  <c r="AP160" i="16" s="1"/>
  <c r="AR129" i="16"/>
  <c r="AR130" i="16" s="1"/>
  <c r="AQ130" i="16"/>
  <c r="AR152" i="16"/>
  <c r="AQ158" i="16"/>
  <c r="AQ159" i="16" s="1"/>
  <c r="AQ125" i="16"/>
  <c r="AQ126" i="16" s="1"/>
  <c r="AQ127" i="16" s="1"/>
  <c r="AR154" i="16"/>
  <c r="AR155" i="16"/>
  <c r="AR157" i="16"/>
  <c r="AR149" i="16"/>
  <c r="AR124" i="16"/>
  <c r="AR150" i="16"/>
  <c r="AR121" i="16"/>
  <c r="AR153" i="16"/>
  <c r="AR147" i="16"/>
  <c r="AR120" i="16"/>
  <c r="AR156" i="16"/>
  <c r="AR148" i="16"/>
  <c r="AS116" i="16"/>
  <c r="AR122" i="16"/>
  <c r="AR123" i="16"/>
  <c r="AR119" i="16"/>
  <c r="AK163" i="16" l="1"/>
  <c r="AL161" i="16"/>
  <c r="AJ164" i="16"/>
  <c r="AJ165" i="16" s="1"/>
  <c r="AR143" i="16"/>
  <c r="AS142" i="16"/>
  <c r="AS135" i="16"/>
  <c r="AS136" i="16"/>
  <c r="AS139" i="16"/>
  <c r="AS138" i="16"/>
  <c r="AS141" i="16"/>
  <c r="AS133" i="16"/>
  <c r="AS140" i="16"/>
  <c r="AQ131" i="16"/>
  <c r="AQ144" i="16" s="1"/>
  <c r="AQ160" i="16" s="1"/>
  <c r="AS152" i="16"/>
  <c r="AS129" i="16"/>
  <c r="AS130" i="16" s="1"/>
  <c r="AR158" i="16"/>
  <c r="AR159" i="16" s="1"/>
  <c r="AR125" i="16"/>
  <c r="AR126" i="16" s="1"/>
  <c r="AR127" i="16" s="1"/>
  <c r="AS155" i="16"/>
  <c r="AS156" i="16"/>
  <c r="AS150" i="16"/>
  <c r="AS121" i="16"/>
  <c r="AS153" i="16"/>
  <c r="AS147" i="16"/>
  <c r="AS122" i="16"/>
  <c r="AS154" i="16"/>
  <c r="AS148" i="16"/>
  <c r="AT116" i="16"/>
  <c r="AS157" i="16"/>
  <c r="AS149" i="16"/>
  <c r="AS123" i="16"/>
  <c r="AS124" i="16"/>
  <c r="AS119" i="16"/>
  <c r="AS120" i="16"/>
  <c r="AL163" i="16" l="1"/>
  <c r="AM161" i="16"/>
  <c r="AK164" i="16"/>
  <c r="AK165" i="16" s="1"/>
  <c r="AS143" i="16"/>
  <c r="AT142" i="16"/>
  <c r="AT140" i="16"/>
  <c r="AT138" i="16"/>
  <c r="AT141" i="16"/>
  <c r="AT136" i="16"/>
  <c r="AT135" i="16"/>
  <c r="AT139" i="16"/>
  <c r="AT133" i="16"/>
  <c r="AR131" i="16"/>
  <c r="AR144" i="16" s="1"/>
  <c r="AR160" i="16" s="1"/>
  <c r="AT152" i="16"/>
  <c r="AT129" i="16"/>
  <c r="AT130" i="16" s="1"/>
  <c r="AS158" i="16"/>
  <c r="AS159" i="16" s="1"/>
  <c r="AS125" i="16"/>
  <c r="AS126" i="16" s="1"/>
  <c r="AS127" i="16" s="1"/>
  <c r="AT156" i="16"/>
  <c r="AT157" i="16"/>
  <c r="AT153" i="16"/>
  <c r="AT147" i="16"/>
  <c r="AT122" i="16"/>
  <c r="AT154" i="16"/>
  <c r="AT148" i="16"/>
  <c r="AT123" i="16"/>
  <c r="AT155" i="16"/>
  <c r="AT149" i="16"/>
  <c r="AT150" i="16"/>
  <c r="AT121" i="16"/>
  <c r="AT119" i="16"/>
  <c r="AT124" i="16"/>
  <c r="AU116" i="16"/>
  <c r="AT120" i="16"/>
  <c r="AM163" i="16" l="1"/>
  <c r="AN161" i="16"/>
  <c r="AL164" i="16"/>
  <c r="AL165" i="16" s="1"/>
  <c r="AT125" i="16"/>
  <c r="AT126" i="16" s="1"/>
  <c r="AT127" i="16" s="1"/>
  <c r="AT131" i="16" s="1"/>
  <c r="AT144" i="16" s="1"/>
  <c r="AT158" i="16"/>
  <c r="AT159" i="16" s="1"/>
  <c r="AT143" i="16"/>
  <c r="AU140" i="16"/>
  <c r="AU139" i="16"/>
  <c r="AU142" i="16"/>
  <c r="AU141" i="16"/>
  <c r="AU135" i="16"/>
  <c r="AU136" i="16"/>
  <c r="AU133" i="16"/>
  <c r="AU138" i="16"/>
  <c r="AS131" i="16"/>
  <c r="AS144" i="16" s="1"/>
  <c r="AS160" i="16" s="1"/>
  <c r="AU152" i="16"/>
  <c r="AU129" i="16"/>
  <c r="AU130" i="16" s="1"/>
  <c r="AU157" i="16"/>
  <c r="AU153" i="16"/>
  <c r="AU154" i="16"/>
  <c r="AU148" i="16"/>
  <c r="AU123" i="16"/>
  <c r="AU155" i="16"/>
  <c r="AU149" i="16"/>
  <c r="AU124" i="16"/>
  <c r="AU156" i="16"/>
  <c r="AU150" i="16"/>
  <c r="AU121" i="16"/>
  <c r="AU119" i="16"/>
  <c r="AU122" i="16"/>
  <c r="AU120" i="16"/>
  <c r="AV116" i="16"/>
  <c r="AU147" i="16"/>
  <c r="AM164" i="16" l="1"/>
  <c r="AM165" i="16" s="1"/>
  <c r="AN163" i="16"/>
  <c r="AO161" i="16"/>
  <c r="AQ161" i="16"/>
  <c r="AQ163" i="16" s="1"/>
  <c r="AQ165" i="16" s="1"/>
  <c r="AU143" i="16"/>
  <c r="AU158" i="16"/>
  <c r="AU159" i="16" s="1"/>
  <c r="AT160" i="16"/>
  <c r="AU125" i="16"/>
  <c r="AU126" i="16" s="1"/>
  <c r="AU127" i="16" s="1"/>
  <c r="AU131" i="16" s="1"/>
  <c r="AU144" i="16" s="1"/>
  <c r="AV141" i="16"/>
  <c r="AV139" i="16"/>
  <c r="AV136" i="16"/>
  <c r="AV138" i="16"/>
  <c r="AV140" i="16"/>
  <c r="AV142" i="16"/>
  <c r="AV135" i="16"/>
  <c r="AV133" i="16"/>
  <c r="AV152" i="16"/>
  <c r="AV129" i="16"/>
  <c r="AV130" i="16" s="1"/>
  <c r="AV154" i="16"/>
  <c r="AV155" i="16"/>
  <c r="AV153" i="16"/>
  <c r="AV149" i="16"/>
  <c r="AV124" i="16"/>
  <c r="AV156" i="16"/>
  <c r="AV150" i="16"/>
  <c r="AV121" i="16"/>
  <c r="AV157" i="16"/>
  <c r="AV122" i="16"/>
  <c r="AV120" i="16"/>
  <c r="AV123" i="16"/>
  <c r="AW116" i="16"/>
  <c r="AV147" i="16"/>
  <c r="AV119" i="16"/>
  <c r="AV148" i="16"/>
  <c r="AN164" i="16" l="1"/>
  <c r="AN165" i="16" s="1"/>
  <c r="AO163" i="16"/>
  <c r="AP161" i="16"/>
  <c r="AP163" i="16" s="1"/>
  <c r="AQ164" i="16"/>
  <c r="AR161" i="16"/>
  <c r="AS161" i="16" s="1"/>
  <c r="AV125" i="16"/>
  <c r="AV158" i="16"/>
  <c r="AV159" i="16" s="1"/>
  <c r="AV143" i="16"/>
  <c r="AU160" i="16"/>
  <c r="AV126" i="16"/>
  <c r="AV127" i="16" s="1"/>
  <c r="AV131" i="16" s="1"/>
  <c r="AV144" i="16" s="1"/>
  <c r="AW136" i="16"/>
  <c r="AW135" i="16"/>
  <c r="AW139" i="16"/>
  <c r="AW138" i="16"/>
  <c r="AW141" i="16"/>
  <c r="AW140" i="16"/>
  <c r="AW142" i="16"/>
  <c r="AW133" i="16"/>
  <c r="AW152" i="16"/>
  <c r="AW129" i="16"/>
  <c r="AW130" i="16" s="1"/>
  <c r="AW155" i="16"/>
  <c r="AW156" i="16"/>
  <c r="AW154" i="16"/>
  <c r="AW150" i="16"/>
  <c r="AW121" i="16"/>
  <c r="AW157" i="16"/>
  <c r="AW147" i="16"/>
  <c r="AW122" i="16"/>
  <c r="AW123" i="16"/>
  <c r="AX116" i="16"/>
  <c r="AW124" i="16"/>
  <c r="AW148" i="16"/>
  <c r="AW119" i="16"/>
  <c r="AW153" i="16"/>
  <c r="AW120" i="16"/>
  <c r="AW149" i="16"/>
  <c r="AO164" i="16" l="1"/>
  <c r="AO165" i="16" s="1"/>
  <c r="AR163" i="16"/>
  <c r="AR164" i="16" s="1"/>
  <c r="AW143" i="16"/>
  <c r="AV160" i="16"/>
  <c r="AW158" i="16"/>
  <c r="AW159" i="16" s="1"/>
  <c r="AW125" i="16"/>
  <c r="AW126" i="16" s="1"/>
  <c r="AW127" i="16" s="1"/>
  <c r="AW131" i="16" s="1"/>
  <c r="AW144" i="16" s="1"/>
  <c r="AT161" i="16"/>
  <c r="AS163" i="16"/>
  <c r="AX142" i="16"/>
  <c r="AX140" i="16"/>
  <c r="AX138" i="16"/>
  <c r="AX136" i="16"/>
  <c r="AX139" i="16"/>
  <c r="AX141" i="16"/>
  <c r="AX135" i="16"/>
  <c r="AX133" i="16"/>
  <c r="AX152" i="16"/>
  <c r="AX129" i="16"/>
  <c r="AX130" i="16" s="1"/>
  <c r="AX156" i="16"/>
  <c r="AX157" i="16"/>
  <c r="AX153" i="16"/>
  <c r="AX155" i="16"/>
  <c r="AX147" i="16"/>
  <c r="AX122" i="16"/>
  <c r="AX148" i="16"/>
  <c r="AX123" i="16"/>
  <c r="AX124" i="16"/>
  <c r="AX119" i="16"/>
  <c r="AX149" i="16"/>
  <c r="AX120" i="16"/>
  <c r="AX154" i="16"/>
  <c r="AX121" i="16"/>
  <c r="AX150" i="16"/>
  <c r="AY116" i="16"/>
  <c r="AP164" i="16" l="1"/>
  <c r="AP165" i="16" s="1"/>
  <c r="AR165" i="16"/>
  <c r="AX143" i="16"/>
  <c r="AX158" i="16"/>
  <c r="AX159" i="16" s="1"/>
  <c r="AX125" i="16"/>
  <c r="AX126" i="16" s="1"/>
  <c r="AX127" i="16" s="1"/>
  <c r="AX131" i="16" s="1"/>
  <c r="AX144" i="16" s="1"/>
  <c r="AW160" i="16"/>
  <c r="AS164" i="16"/>
  <c r="AS165" i="16"/>
  <c r="AT163" i="16"/>
  <c r="AU161" i="16"/>
  <c r="AY142" i="16"/>
  <c r="AY141" i="16"/>
  <c r="AY138" i="16"/>
  <c r="AY136" i="16"/>
  <c r="AY135" i="16"/>
  <c r="AY133" i="16"/>
  <c r="AY140" i="16"/>
  <c r="AY139" i="16"/>
  <c r="AY152" i="16"/>
  <c r="AY129" i="16"/>
  <c r="AY130" i="16" s="1"/>
  <c r="AY157" i="16"/>
  <c r="AY153" i="16"/>
  <c r="AY154" i="16"/>
  <c r="AY156" i="16"/>
  <c r="AY148" i="16"/>
  <c r="AY123" i="16"/>
  <c r="AY149" i="16"/>
  <c r="AY124" i="16"/>
  <c r="AY119" i="16"/>
  <c r="AY147" i="16"/>
  <c r="AY120" i="16"/>
  <c r="AY150" i="16"/>
  <c r="AY121" i="16"/>
  <c r="AY155" i="16"/>
  <c r="AY122" i="16"/>
  <c r="AZ116" i="16"/>
  <c r="AX160" i="16" l="1"/>
  <c r="AY143" i="16"/>
  <c r="AY158" i="16"/>
  <c r="AY159" i="16" s="1"/>
  <c r="AY125" i="16"/>
  <c r="AY126" i="16" s="1"/>
  <c r="AY127" i="16" s="1"/>
  <c r="AY131" i="16" s="1"/>
  <c r="AY144" i="16" s="1"/>
  <c r="AU163" i="16"/>
  <c r="AV161" i="16"/>
  <c r="AT164" i="16"/>
  <c r="AT165" i="16"/>
  <c r="AZ141" i="16"/>
  <c r="AZ139" i="16"/>
  <c r="AZ136" i="16"/>
  <c r="AZ140" i="16"/>
  <c r="AZ142" i="16"/>
  <c r="AZ133" i="16"/>
  <c r="AZ138" i="16"/>
  <c r="AZ135" i="16"/>
  <c r="AZ152" i="16"/>
  <c r="AZ129" i="16"/>
  <c r="AZ130" i="16" s="1"/>
  <c r="AZ154" i="16"/>
  <c r="AZ155" i="16"/>
  <c r="AZ157" i="16"/>
  <c r="AZ149" i="16"/>
  <c r="AZ124" i="16"/>
  <c r="AZ150" i="16"/>
  <c r="AZ121" i="16"/>
  <c r="AZ147" i="16"/>
  <c r="AZ120" i="16"/>
  <c r="AZ148" i="16"/>
  <c r="BA116" i="16"/>
  <c r="AZ153" i="16"/>
  <c r="AZ122" i="16"/>
  <c r="AZ156" i="16"/>
  <c r="AZ123" i="16"/>
  <c r="AZ119" i="16"/>
  <c r="AZ143" i="16" l="1"/>
  <c r="AZ158" i="16"/>
  <c r="AZ159" i="16" s="1"/>
  <c r="AY160" i="16"/>
  <c r="AZ125" i="16"/>
  <c r="AZ126" i="16" s="1"/>
  <c r="AZ127" i="16" s="1"/>
  <c r="AZ131" i="16" s="1"/>
  <c r="AZ144" i="16" s="1"/>
  <c r="AU164" i="16"/>
  <c r="AU165" i="16"/>
  <c r="AV163" i="16"/>
  <c r="AW161" i="16"/>
  <c r="BA139" i="16"/>
  <c r="BA138" i="16"/>
  <c r="BA135" i="16"/>
  <c r="BA141" i="16"/>
  <c r="BA140" i="16"/>
  <c r="BA142" i="16"/>
  <c r="BA136" i="16"/>
  <c r="BA133" i="16"/>
  <c r="BA152" i="16"/>
  <c r="BA129" i="16"/>
  <c r="BA130" i="16" s="1"/>
  <c r="BA155" i="16"/>
  <c r="BA156" i="16"/>
  <c r="BA150" i="16"/>
  <c r="BA121" i="16"/>
  <c r="BA153" i="16"/>
  <c r="BA147" i="16"/>
  <c r="BA122" i="16"/>
  <c r="BA148" i="16"/>
  <c r="BB116" i="16"/>
  <c r="BA149" i="16"/>
  <c r="BA154" i="16"/>
  <c r="BA123" i="16"/>
  <c r="BA157" i="16"/>
  <c r="BA124" i="16"/>
  <c r="BA119" i="16"/>
  <c r="BA120" i="16"/>
  <c r="AZ160" i="16" l="1"/>
  <c r="BA143" i="16"/>
  <c r="BA158" i="16"/>
  <c r="BA159" i="16" s="1"/>
  <c r="AW163" i="16"/>
  <c r="AX161" i="16"/>
  <c r="AV164" i="16"/>
  <c r="AV165" i="16"/>
  <c r="BA125" i="16"/>
  <c r="BA126" i="16" s="1"/>
  <c r="BA127" i="16" s="1"/>
  <c r="BA131" i="16" s="1"/>
  <c r="BA144" i="16" s="1"/>
  <c r="BB142" i="16"/>
  <c r="BB140" i="16"/>
  <c r="BB138" i="16"/>
  <c r="BB136" i="16"/>
  <c r="BB139" i="16"/>
  <c r="BB141" i="16"/>
  <c r="BB133" i="16"/>
  <c r="BB135" i="16"/>
  <c r="BB152" i="16"/>
  <c r="BB129" i="16"/>
  <c r="BB130" i="16" s="1"/>
  <c r="BB156" i="16"/>
  <c r="BB157" i="16"/>
  <c r="BB153" i="16"/>
  <c r="BB147" i="16"/>
  <c r="BB122" i="16"/>
  <c r="BB154" i="16"/>
  <c r="BB148" i="16"/>
  <c r="BB123" i="16"/>
  <c r="BB149" i="16"/>
  <c r="BB150" i="16"/>
  <c r="BB121" i="16"/>
  <c r="BB119" i="16"/>
  <c r="BB155" i="16"/>
  <c r="BB124" i="16"/>
  <c r="BC116" i="16"/>
  <c r="BB120" i="16"/>
  <c r="BA160" i="16" l="1"/>
  <c r="BB143" i="16"/>
  <c r="BB125" i="16"/>
  <c r="BB126" i="16" s="1"/>
  <c r="BB127" i="16" s="1"/>
  <c r="BB131" i="16" s="1"/>
  <c r="BB144" i="16" s="1"/>
  <c r="BB158" i="16"/>
  <c r="BB159" i="16" s="1"/>
  <c r="AX163" i="16"/>
  <c r="AY161" i="16"/>
  <c r="AW164" i="16"/>
  <c r="AW165" i="16"/>
  <c r="BC138" i="16"/>
  <c r="BC136" i="16"/>
  <c r="BC140" i="16"/>
  <c r="BC139" i="16"/>
  <c r="BC135" i="16"/>
  <c r="BC141" i="16"/>
  <c r="BC142" i="16"/>
  <c r="BC133" i="16"/>
  <c r="BC152" i="16"/>
  <c r="BC129" i="16"/>
  <c r="BC130" i="16" s="1"/>
  <c r="BC157" i="16"/>
  <c r="BC153" i="16"/>
  <c r="BC154" i="16"/>
  <c r="BC148" i="16"/>
  <c r="BC123" i="16"/>
  <c r="BC155" i="16"/>
  <c r="BC149" i="16"/>
  <c r="BC124" i="16"/>
  <c r="BC150" i="16"/>
  <c r="BC121" i="16"/>
  <c r="BC119" i="16"/>
  <c r="BC122" i="16"/>
  <c r="BC120" i="16"/>
  <c r="BC156" i="16"/>
  <c r="BD116" i="16"/>
  <c r="BC147" i="16"/>
  <c r="BB160" i="16" l="1"/>
  <c r="BC158" i="16"/>
  <c r="BC159" i="16" s="1"/>
  <c r="BC143" i="16"/>
  <c r="BC125" i="16"/>
  <c r="BC126" i="16" s="1"/>
  <c r="BC127" i="16" s="1"/>
  <c r="BC131" i="16" s="1"/>
  <c r="BC144" i="16" s="1"/>
  <c r="AY163" i="16"/>
  <c r="AZ161" i="16"/>
  <c r="AX164" i="16"/>
  <c r="AX165" i="16"/>
  <c r="BD141" i="16"/>
  <c r="BD139" i="16"/>
  <c r="BD136" i="16"/>
  <c r="BD142" i="16"/>
  <c r="BD138" i="16"/>
  <c r="BD140" i="16"/>
  <c r="BD135" i="16"/>
  <c r="BD133" i="16"/>
  <c r="BD152" i="16"/>
  <c r="BD129" i="16"/>
  <c r="BD130" i="16" s="1"/>
  <c r="BD154" i="16"/>
  <c r="BD155" i="16"/>
  <c r="BD153" i="16"/>
  <c r="BD149" i="16"/>
  <c r="BD124" i="16"/>
  <c r="BD156" i="16"/>
  <c r="BD150" i="16"/>
  <c r="BD121" i="16"/>
  <c r="BD122" i="16"/>
  <c r="BD120" i="16"/>
  <c r="BD123" i="16"/>
  <c r="BE116" i="16"/>
  <c r="BD157" i="16"/>
  <c r="BD147" i="16"/>
  <c r="BD148" i="16"/>
  <c r="BD119" i="16"/>
  <c r="BD125" i="16" l="1"/>
  <c r="BD126" i="16" s="1"/>
  <c r="BD127" i="16" s="1"/>
  <c r="BD131" i="16" s="1"/>
  <c r="BD144" i="16" s="1"/>
  <c r="BD143" i="16"/>
  <c r="BC160" i="16"/>
  <c r="BD158" i="16"/>
  <c r="BD159" i="16" s="1"/>
  <c r="AZ163" i="16"/>
  <c r="BA161" i="16"/>
  <c r="AY164" i="16"/>
  <c r="AY165" i="16"/>
  <c r="BE141" i="16"/>
  <c r="BE140" i="16"/>
  <c r="BE135" i="16"/>
  <c r="BE142" i="16"/>
  <c r="BE136" i="16"/>
  <c r="BE139" i="16"/>
  <c r="BE133" i="16"/>
  <c r="BE138" i="16"/>
  <c r="BE152" i="16"/>
  <c r="BE129" i="16"/>
  <c r="BE130" i="16" s="1"/>
  <c r="BE155" i="16"/>
  <c r="BE156" i="16"/>
  <c r="BE154" i="16"/>
  <c r="BE150" i="16"/>
  <c r="BE121" i="16"/>
  <c r="BE157" i="16"/>
  <c r="BE147" i="16"/>
  <c r="BE122" i="16"/>
  <c r="BE123" i="16"/>
  <c r="BF116" i="16"/>
  <c r="BE153" i="16"/>
  <c r="BE124" i="16"/>
  <c r="BE148" i="16"/>
  <c r="BE119" i="16"/>
  <c r="BE149" i="16"/>
  <c r="BE120" i="16"/>
  <c r="BE143" i="16" l="1"/>
  <c r="BD160" i="16"/>
  <c r="BE158" i="16"/>
  <c r="BE159" i="16" s="1"/>
  <c r="BA163" i="16"/>
  <c r="BB161" i="16"/>
  <c r="AZ164" i="16"/>
  <c r="AZ165" i="16"/>
  <c r="BE125" i="16"/>
  <c r="BE126" i="16" s="1"/>
  <c r="BE127" i="16" s="1"/>
  <c r="BE131" i="16" s="1"/>
  <c r="BE144" i="16" s="1"/>
  <c r="BF142" i="16"/>
  <c r="BF140" i="16"/>
  <c r="BF138" i="16"/>
  <c r="BF139" i="16"/>
  <c r="BF141" i="16"/>
  <c r="BF136" i="16"/>
  <c r="BF135" i="16"/>
  <c r="BF133" i="16"/>
  <c r="BF152" i="16"/>
  <c r="BF129" i="16"/>
  <c r="BF130" i="16" s="1"/>
  <c r="BF156" i="16"/>
  <c r="BF157" i="16"/>
  <c r="BF153" i="16"/>
  <c r="BF155" i="16"/>
  <c r="BF147" i="16"/>
  <c r="BF122" i="16"/>
  <c r="BF148" i="16"/>
  <c r="BF123" i="16"/>
  <c r="BF124" i="16"/>
  <c r="BF154" i="16"/>
  <c r="BF119" i="16"/>
  <c r="BF149" i="16"/>
  <c r="BF121" i="16"/>
  <c r="BF120" i="16"/>
  <c r="BF150" i="16"/>
  <c r="BG116" i="16"/>
  <c r="BF125" i="16" l="1"/>
  <c r="BF126" i="16" s="1"/>
  <c r="BF127" i="16" s="1"/>
  <c r="BF131" i="16" s="1"/>
  <c r="BF144" i="16" s="1"/>
  <c r="BF158" i="16"/>
  <c r="BF159" i="16" s="1"/>
  <c r="BF143" i="16"/>
  <c r="BE160" i="16"/>
  <c r="BB163" i="16"/>
  <c r="BC161" i="16"/>
  <c r="BA164" i="16"/>
  <c r="BA165" i="16"/>
  <c r="BG138" i="16"/>
  <c r="BG136" i="16"/>
  <c r="BG140" i="16"/>
  <c r="BG139" i="16"/>
  <c r="BG142" i="16"/>
  <c r="BG141" i="16"/>
  <c r="BG135" i="16"/>
  <c r="BG133" i="16"/>
  <c r="BG152" i="16"/>
  <c r="BG129" i="16"/>
  <c r="BG130" i="16" s="1"/>
  <c r="BG157" i="16"/>
  <c r="BG153" i="16"/>
  <c r="BG154" i="16"/>
  <c r="BG156" i="16"/>
  <c r="BG148" i="16"/>
  <c r="BG123" i="16"/>
  <c r="BG149" i="16"/>
  <c r="BG124" i="16"/>
  <c r="BG119" i="16"/>
  <c r="BG155" i="16"/>
  <c r="BG147" i="16"/>
  <c r="BG120" i="16"/>
  <c r="BG150" i="16"/>
  <c r="BG121" i="16"/>
  <c r="BG122" i="16"/>
  <c r="BH116" i="16"/>
  <c r="BG158" i="16" l="1"/>
  <c r="BG159" i="16" s="1"/>
  <c r="BG143" i="16"/>
  <c r="BF160" i="16"/>
  <c r="BC163" i="16"/>
  <c r="BD161" i="16"/>
  <c r="BG125" i="16"/>
  <c r="BG126" i="16" s="1"/>
  <c r="BG127" i="16" s="1"/>
  <c r="BG131" i="16" s="1"/>
  <c r="BG144" i="16" s="1"/>
  <c r="BB164" i="16"/>
  <c r="BB165" i="16"/>
  <c r="BH141" i="16"/>
  <c r="BH139" i="16"/>
  <c r="BH138" i="16"/>
  <c r="BH136" i="16"/>
  <c r="BH140" i="16"/>
  <c r="BH142" i="16"/>
  <c r="BH133" i="16"/>
  <c r="BH135" i="16"/>
  <c r="BH152" i="16"/>
  <c r="BH129" i="16"/>
  <c r="BH130" i="16" s="1"/>
  <c r="BH154" i="16"/>
  <c r="BH155" i="16"/>
  <c r="BH157" i="16"/>
  <c r="BH149" i="16"/>
  <c r="BH124" i="16"/>
  <c r="BH150" i="16"/>
  <c r="BH121" i="16"/>
  <c r="BH153" i="16"/>
  <c r="BH147" i="16"/>
  <c r="BH120" i="16"/>
  <c r="BH156" i="16"/>
  <c r="BH148" i="16"/>
  <c r="BI116" i="16"/>
  <c r="BH122" i="16"/>
  <c r="BH123" i="16"/>
  <c r="BH119" i="16"/>
  <c r="BG160" i="16" l="1"/>
  <c r="BH143" i="16"/>
  <c r="BH158" i="16"/>
  <c r="BH159" i="16" s="1"/>
  <c r="BH125" i="16"/>
  <c r="BH126" i="16" s="1"/>
  <c r="BH127" i="16" s="1"/>
  <c r="BH131" i="16" s="1"/>
  <c r="BH144" i="16" s="1"/>
  <c r="BD163" i="16"/>
  <c r="BE161" i="16"/>
  <c r="BC164" i="16"/>
  <c r="BC165" i="16"/>
  <c r="BI142" i="16"/>
  <c r="BI135" i="16"/>
  <c r="BI139" i="16"/>
  <c r="BI138" i="16"/>
  <c r="BI136" i="16"/>
  <c r="BI140" i="16"/>
  <c r="BI133" i="16"/>
  <c r="BI141" i="16"/>
  <c r="BI152" i="16"/>
  <c r="BI129" i="16"/>
  <c r="BI130" i="16" s="1"/>
  <c r="BI155" i="16"/>
  <c r="BI156" i="16"/>
  <c r="BI150" i="16"/>
  <c r="BI121" i="16"/>
  <c r="BI153" i="16"/>
  <c r="BI147" i="16"/>
  <c r="BI122" i="16"/>
  <c r="BI154" i="16"/>
  <c r="BI148" i="16"/>
  <c r="BJ116" i="16"/>
  <c r="BI157" i="16"/>
  <c r="BI149" i="16"/>
  <c r="BI123" i="16"/>
  <c r="BI124" i="16"/>
  <c r="BI119" i="16"/>
  <c r="BI120" i="16"/>
  <c r="BH160" i="16" l="1"/>
  <c r="BI143" i="16"/>
  <c r="BI158" i="16"/>
  <c r="BI159" i="16" s="1"/>
  <c r="BD164" i="16"/>
  <c r="BD165" i="16"/>
  <c r="BI125" i="16"/>
  <c r="BI126" i="16" s="1"/>
  <c r="BI127" i="16" s="1"/>
  <c r="BI131" i="16" s="1"/>
  <c r="BI144" i="16" s="1"/>
  <c r="BE163" i="16"/>
  <c r="BF161" i="16"/>
  <c r="BJ142" i="16"/>
  <c r="BJ140" i="16"/>
  <c r="BJ138" i="16"/>
  <c r="BJ141" i="16"/>
  <c r="BJ139" i="16"/>
  <c r="BJ136" i="16"/>
  <c r="BJ133" i="16"/>
  <c r="BJ135" i="16"/>
  <c r="BJ152" i="16"/>
  <c r="BJ130" i="16"/>
  <c r="BJ129" i="16"/>
  <c r="BJ156" i="16"/>
  <c r="BJ157" i="16"/>
  <c r="BJ153" i="16"/>
  <c r="BJ147" i="16"/>
  <c r="BJ122" i="16"/>
  <c r="BJ154" i="16"/>
  <c r="BJ148" i="16"/>
  <c r="BJ123" i="16"/>
  <c r="BJ155" i="16"/>
  <c r="BJ149" i="16"/>
  <c r="BJ150" i="16"/>
  <c r="BJ121" i="16"/>
  <c r="BJ119" i="16"/>
  <c r="BJ124" i="16"/>
  <c r="BK116" i="16"/>
  <c r="BJ120" i="16"/>
  <c r="BJ125" i="16" l="1"/>
  <c r="BJ159" i="16"/>
  <c r="BI160" i="16"/>
  <c r="BJ158" i="16"/>
  <c r="BJ143" i="16"/>
  <c r="BF163" i="16"/>
  <c r="BG161" i="16"/>
  <c r="BE164" i="16"/>
  <c r="BE165" i="16"/>
  <c r="BJ126" i="16"/>
  <c r="BJ127" i="16" s="1"/>
  <c r="BJ131" i="16" s="1"/>
  <c r="BJ144" i="16" s="1"/>
  <c r="BJ160" i="16" s="1"/>
  <c r="BK140" i="16"/>
  <c r="BK139" i="16"/>
  <c r="BK136" i="16"/>
  <c r="BK142" i="16"/>
  <c r="BK141" i="16"/>
  <c r="BK135" i="16"/>
  <c r="BK133" i="16"/>
  <c r="BK138" i="16"/>
  <c r="BK152" i="16"/>
  <c r="BK129" i="16"/>
  <c r="BK130" i="16" s="1"/>
  <c r="BK157" i="16"/>
  <c r="BK153" i="16"/>
  <c r="BK154" i="16"/>
  <c r="BK148" i="16"/>
  <c r="BK123" i="16"/>
  <c r="BK155" i="16"/>
  <c r="BK149" i="16"/>
  <c r="BK124" i="16"/>
  <c r="BK156" i="16"/>
  <c r="BK150" i="16"/>
  <c r="BK121" i="16"/>
  <c r="BK119" i="16"/>
  <c r="BK122" i="16"/>
  <c r="BK120" i="16"/>
  <c r="BK125" i="16" s="1"/>
  <c r="BK147" i="16"/>
  <c r="BL116" i="16"/>
  <c r="BK126" i="16" l="1"/>
  <c r="BK127" i="16" s="1"/>
  <c r="BK131" i="16" s="1"/>
  <c r="BK144" i="16" s="1"/>
  <c r="BK158" i="16"/>
  <c r="BK159" i="16" s="1"/>
  <c r="BK143" i="16"/>
  <c r="BG163" i="16"/>
  <c r="BH161" i="16"/>
  <c r="BF164" i="16"/>
  <c r="BF165" i="16"/>
  <c r="BL141" i="16"/>
  <c r="BL139" i="16"/>
  <c r="BL138" i="16"/>
  <c r="BL140" i="16"/>
  <c r="BL136" i="16"/>
  <c r="BL142" i="16"/>
  <c r="BL135" i="16"/>
  <c r="BL133" i="16"/>
  <c r="BL152" i="16"/>
  <c r="BL129" i="16"/>
  <c r="BL130" i="16" s="1"/>
  <c r="BL154" i="16"/>
  <c r="BL155" i="16"/>
  <c r="BL153" i="16"/>
  <c r="BL149" i="16"/>
  <c r="BL124" i="16"/>
  <c r="BL156" i="16"/>
  <c r="BL150" i="16"/>
  <c r="BL121" i="16"/>
  <c r="BL157" i="16"/>
  <c r="BL122" i="16"/>
  <c r="BL120" i="16"/>
  <c r="BL123" i="16"/>
  <c r="BM116" i="16"/>
  <c r="BL147" i="16"/>
  <c r="BL148" i="16"/>
  <c r="BL119" i="16"/>
  <c r="BL143" i="16" l="1"/>
  <c r="BL158" i="16"/>
  <c r="BK160" i="16"/>
  <c r="BL159" i="16"/>
  <c r="BL125" i="16"/>
  <c r="BL126" i="16" s="1"/>
  <c r="BL127" i="16" s="1"/>
  <c r="BL131" i="16" s="1"/>
  <c r="BL144" i="16" s="1"/>
  <c r="BL160" i="16" s="1"/>
  <c r="BH163" i="16"/>
  <c r="BI161" i="16"/>
  <c r="BG164" i="16"/>
  <c r="BG165" i="16"/>
  <c r="D18" i="16" s="1"/>
  <c r="BM135" i="16"/>
  <c r="E135" i="16" s="1"/>
  <c r="BM139" i="16"/>
  <c r="E139" i="16" s="1"/>
  <c r="BM138" i="16"/>
  <c r="E138" i="16" s="1"/>
  <c r="BM141" i="16"/>
  <c r="E141" i="16" s="1"/>
  <c r="BM140" i="16"/>
  <c r="E140" i="16" s="1"/>
  <c r="BM136" i="16"/>
  <c r="E136" i="16" s="1"/>
  <c r="BM142" i="16"/>
  <c r="E142" i="16" s="1"/>
  <c r="BM133" i="16"/>
  <c r="E133" i="16" s="1"/>
  <c r="BM152" i="16"/>
  <c r="E152" i="16" s="1"/>
  <c r="BM129" i="16"/>
  <c r="BM130" i="16" s="1"/>
  <c r="BM155" i="16"/>
  <c r="E155" i="16" s="1"/>
  <c r="BM156" i="16"/>
  <c r="E156" i="16" s="1"/>
  <c r="BM154" i="16"/>
  <c r="E154" i="16" s="1"/>
  <c r="BM150" i="16"/>
  <c r="E150" i="16" s="1"/>
  <c r="BM121" i="16"/>
  <c r="E121" i="16" s="1"/>
  <c r="BM157" i="16"/>
  <c r="E157" i="16" s="1"/>
  <c r="BM147" i="16"/>
  <c r="E147" i="16" s="1"/>
  <c r="BM122" i="16"/>
  <c r="E122" i="16" s="1"/>
  <c r="BM123" i="16"/>
  <c r="E123" i="16" s="1"/>
  <c r="BM124" i="16"/>
  <c r="E124" i="16" s="1"/>
  <c r="BM148" i="16"/>
  <c r="E148" i="16" s="1"/>
  <c r="BM153" i="16"/>
  <c r="E153" i="16" s="1"/>
  <c r="BM149" i="16"/>
  <c r="E149" i="16" s="1"/>
  <c r="BM119" i="16"/>
  <c r="E119" i="16" s="1"/>
  <c r="BM120" i="16"/>
  <c r="E120" i="16" s="1"/>
  <c r="BM158" i="16" l="1"/>
  <c r="E158" i="16" s="1"/>
  <c r="BH164" i="16"/>
  <c r="BH165" i="16"/>
  <c r="BM125" i="16"/>
  <c r="BM126" i="16"/>
  <c r="BM143" i="16"/>
  <c r="BM159" i="16"/>
  <c r="BI163" i="16"/>
  <c r="BJ161" i="16"/>
  <c r="E126" i="16" l="1"/>
  <c r="BM127" i="16"/>
  <c r="BM131" i="16" s="1"/>
  <c r="BM144" i="16" s="1"/>
  <c r="BM160" i="16" s="1"/>
  <c r="BJ163" i="16"/>
  <c r="BK161" i="16"/>
  <c r="BI164" i="16"/>
  <c r="BI165" i="16"/>
  <c r="E102" i="14"/>
  <c r="E49" i="14"/>
  <c r="H54" i="14" s="1"/>
  <c r="C37" i="14"/>
  <c r="E37" i="14" s="1"/>
  <c r="E38" i="14" s="1"/>
  <c r="BK163" i="16" l="1"/>
  <c r="BL161" i="16"/>
  <c r="BL163" i="16" s="1"/>
  <c r="BJ164" i="16"/>
  <c r="BJ165" i="16"/>
  <c r="H68" i="14"/>
  <c r="N115" i="14" s="1"/>
  <c r="H66" i="14"/>
  <c r="L115" i="14" s="1"/>
  <c r="H71" i="14"/>
  <c r="Q115" i="14" s="1"/>
  <c r="F102" i="14"/>
  <c r="E111" i="14"/>
  <c r="F37" i="14"/>
  <c r="J60" i="14"/>
  <c r="F107" i="14" s="1"/>
  <c r="H62" i="14"/>
  <c r="H115" i="14" s="1"/>
  <c r="H63" i="14"/>
  <c r="I115" i="14" s="1"/>
  <c r="H70" i="14"/>
  <c r="P115" i="14" s="1"/>
  <c r="H67" i="14"/>
  <c r="M115" i="14" s="1"/>
  <c r="H74" i="14"/>
  <c r="T115" i="14" s="1"/>
  <c r="H69" i="14"/>
  <c r="O115" i="14" s="1"/>
  <c r="H73" i="14"/>
  <c r="S115" i="14" s="1"/>
  <c r="H61" i="14"/>
  <c r="G115" i="14" s="1"/>
  <c r="E104" i="14"/>
  <c r="E123" i="14" s="1"/>
  <c r="H72" i="14"/>
  <c r="R115" i="14" s="1"/>
  <c r="H55" i="14"/>
  <c r="J20" i="14" s="1"/>
  <c r="H64" i="14"/>
  <c r="J115" i="14" s="1"/>
  <c r="H65" i="14"/>
  <c r="K115" i="14" s="1"/>
  <c r="H60" i="14"/>
  <c r="E63" i="14" s="1"/>
  <c r="I60" i="14"/>
  <c r="F104" i="14" s="1"/>
  <c r="BL165" i="16" l="1"/>
  <c r="BK164" i="16"/>
  <c r="BL164" i="16" s="1"/>
  <c r="BK165" i="16"/>
  <c r="BM161" i="16"/>
  <c r="F123" i="14"/>
  <c r="G102" i="14"/>
  <c r="F106" i="14"/>
  <c r="F109" i="14" s="1"/>
  <c r="F115" i="14"/>
  <c r="E115" i="14"/>
  <c r="E39" i="14"/>
  <c r="E62" i="14" s="1"/>
  <c r="E117" i="14"/>
  <c r="I61" i="14"/>
  <c r="J61" i="14"/>
  <c r="G107" i="14" s="1"/>
  <c r="E124" i="14" l="1"/>
  <c r="J19" i="14" s="1"/>
  <c r="D15" i="16"/>
  <c r="BM163" i="16"/>
  <c r="E119" i="14"/>
  <c r="E85" i="14"/>
  <c r="E86" i="14" s="1"/>
  <c r="E87" i="14" s="1"/>
  <c r="J17" i="14" s="1"/>
  <c r="F117" i="14"/>
  <c r="G117" i="14" s="1"/>
  <c r="G124" i="14" s="1"/>
  <c r="G106" i="14"/>
  <c r="G109" i="14" s="1"/>
  <c r="H102" i="14"/>
  <c r="J62" i="14"/>
  <c r="H107" i="14" s="1"/>
  <c r="G104" i="14"/>
  <c r="G123" i="14" s="1"/>
  <c r="I62" i="14"/>
  <c r="D63" i="14"/>
  <c r="F124" i="14" l="1"/>
  <c r="BM164" i="16"/>
  <c r="BM165" i="16"/>
  <c r="D16" i="16" s="1"/>
  <c r="D17" i="16" s="1"/>
  <c r="H106" i="14"/>
  <c r="I102" i="14"/>
  <c r="H117" i="14"/>
  <c r="H124" i="14" s="1"/>
  <c r="G119" i="14"/>
  <c r="G121" i="14" s="1"/>
  <c r="F119" i="14"/>
  <c r="F121" i="14" s="1"/>
  <c r="F111" i="14"/>
  <c r="H104" i="14"/>
  <c r="H123" i="14" s="1"/>
  <c r="I63" i="14"/>
  <c r="E121" i="14"/>
  <c r="J63" i="14"/>
  <c r="I107" i="14" s="1"/>
  <c r="I106" i="14" l="1"/>
  <c r="J102" i="14"/>
  <c r="I117" i="14"/>
  <c r="I124" i="14" s="1"/>
  <c r="H119" i="14"/>
  <c r="H121" i="14" s="1"/>
  <c r="I104" i="14"/>
  <c r="I123" i="14" s="1"/>
  <c r="I64" i="14"/>
  <c r="J64" i="14"/>
  <c r="J107" i="14" s="1"/>
  <c r="G111" i="14"/>
  <c r="J117" i="14" l="1"/>
  <c r="I119" i="14"/>
  <c r="I121" i="14" s="1"/>
  <c r="J106" i="14"/>
  <c r="K102" i="14"/>
  <c r="J104" i="14"/>
  <c r="J123" i="14" s="1"/>
  <c r="I65" i="14"/>
  <c r="H109" i="14"/>
  <c r="H111" i="14" s="1"/>
  <c r="J65" i="14"/>
  <c r="K107" i="14" s="1"/>
  <c r="K106" i="14" l="1"/>
  <c r="L102" i="14"/>
  <c r="K117" i="14"/>
  <c r="J119" i="14"/>
  <c r="J121" i="14" s="1"/>
  <c r="J124" i="14"/>
  <c r="J66" i="14"/>
  <c r="L107" i="14" s="1"/>
  <c r="I109" i="14"/>
  <c r="I111" i="14" s="1"/>
  <c r="K104" i="14"/>
  <c r="K123" i="14" s="1"/>
  <c r="I66" i="14"/>
  <c r="L106" i="14" l="1"/>
  <c r="M102" i="14"/>
  <c r="L117" i="14"/>
  <c r="K124" i="14"/>
  <c r="K119" i="14"/>
  <c r="K121" i="14" s="1"/>
  <c r="J109" i="14"/>
  <c r="J111" i="14" s="1"/>
  <c r="J67" i="14"/>
  <c r="M107" i="14" s="1"/>
  <c r="L104" i="14"/>
  <c r="L123" i="14" s="1"/>
  <c r="I67" i="14"/>
  <c r="M117" i="14" l="1"/>
  <c r="L119" i="14"/>
  <c r="L121" i="14" s="1"/>
  <c r="L124" i="14"/>
  <c r="M106" i="14"/>
  <c r="N102" i="14"/>
  <c r="K109" i="14"/>
  <c r="K111" i="14" s="1"/>
  <c r="M104" i="14"/>
  <c r="M123" i="14" s="1"/>
  <c r="I68" i="14"/>
  <c r="J68" i="14"/>
  <c r="N107" i="14" s="1"/>
  <c r="N106" i="14" l="1"/>
  <c r="O102" i="14"/>
  <c r="N117" i="14"/>
  <c r="M119" i="14"/>
  <c r="M121" i="14" s="1"/>
  <c r="M124" i="14"/>
  <c r="L109" i="14"/>
  <c r="L111" i="14" s="1"/>
  <c r="N104" i="14"/>
  <c r="N123" i="14" s="1"/>
  <c r="I69" i="14"/>
  <c r="J69" i="14"/>
  <c r="O107" i="14" s="1"/>
  <c r="O117" i="14" l="1"/>
  <c r="N119" i="14"/>
  <c r="N121" i="14" s="1"/>
  <c r="N124" i="14"/>
  <c r="O106" i="14"/>
  <c r="P102" i="14"/>
  <c r="M109" i="14"/>
  <c r="M111" i="14" s="1"/>
  <c r="J70" i="14"/>
  <c r="P107" i="14" s="1"/>
  <c r="O104" i="14"/>
  <c r="O123" i="14" s="1"/>
  <c r="I70" i="14"/>
  <c r="P106" i="14" l="1"/>
  <c r="Q102" i="14"/>
  <c r="P117" i="14"/>
  <c r="O119" i="14"/>
  <c r="O121" i="14" s="1"/>
  <c r="O124" i="14"/>
  <c r="P104" i="14"/>
  <c r="P123" i="14" s="1"/>
  <c r="I71" i="14"/>
  <c r="J71" i="14"/>
  <c r="Q107" i="14" s="1"/>
  <c r="N109" i="14"/>
  <c r="N111" i="14" s="1"/>
  <c r="Q117" i="14" l="1"/>
  <c r="P119" i="14"/>
  <c r="P121" i="14" s="1"/>
  <c r="P124" i="14"/>
  <c r="Q106" i="14"/>
  <c r="R102" i="14"/>
  <c r="O109" i="14"/>
  <c r="O111" i="14" s="1"/>
  <c r="J72" i="14"/>
  <c r="R107" i="14" s="1"/>
  <c r="Q104" i="14"/>
  <c r="Q123" i="14" s="1"/>
  <c r="I72" i="14"/>
  <c r="R106" i="14" l="1"/>
  <c r="S102" i="14"/>
  <c r="R117" i="14"/>
  <c r="Q119" i="14"/>
  <c r="Q121" i="14" s="1"/>
  <c r="Q124" i="14"/>
  <c r="R104" i="14"/>
  <c r="R123" i="14" s="1"/>
  <c r="I73" i="14"/>
  <c r="J73" i="14"/>
  <c r="S107" i="14" s="1"/>
  <c r="P109" i="14"/>
  <c r="P111" i="14" s="1"/>
  <c r="S117" i="14" l="1"/>
  <c r="R124" i="14"/>
  <c r="R119" i="14"/>
  <c r="R121" i="14" s="1"/>
  <c r="S106" i="14"/>
  <c r="T102" i="14"/>
  <c r="T106" i="14" s="1"/>
  <c r="S104" i="14"/>
  <c r="S123" i="14" s="1"/>
  <c r="I74" i="14"/>
  <c r="T104" i="14" s="1"/>
  <c r="Q109" i="14"/>
  <c r="Q111" i="14" s="1"/>
  <c r="J74" i="14"/>
  <c r="T107" i="14" s="1"/>
  <c r="T109" i="14" s="1"/>
  <c r="T123" i="14" l="1"/>
  <c r="T117" i="14"/>
  <c r="S124" i="14"/>
  <c r="S119" i="14"/>
  <c r="S121" i="14" s="1"/>
  <c r="R109" i="14"/>
  <c r="R111" i="14" s="1"/>
  <c r="T119" i="14" l="1"/>
  <c r="T121" i="14" s="1"/>
  <c r="T124" i="14"/>
  <c r="S109" i="14"/>
  <c r="S111" i="14" s="1"/>
  <c r="J25" i="14" l="1"/>
  <c r="T111" i="14"/>
  <c r="E40" i="13" l="1"/>
</calcChain>
</file>

<file path=xl/sharedStrings.xml><?xml version="1.0" encoding="utf-8"?>
<sst xmlns="http://schemas.openxmlformats.org/spreadsheetml/2006/main" count="747" uniqueCount="459">
  <si>
    <t>Landing Page</t>
  </si>
  <si>
    <t xml:space="preserve">Example </t>
  </si>
  <si>
    <t>Indicates cells to be entered as numbers, words, or drop down fields to be chosen</t>
  </si>
  <si>
    <t>Input</t>
  </si>
  <si>
    <t xml:space="preserve">Name </t>
  </si>
  <si>
    <t xml:space="preserve">Provider </t>
  </si>
  <si>
    <t>Developer</t>
  </si>
  <si>
    <t xml:space="preserve">$/sqm </t>
  </si>
  <si>
    <t xml:space="preserve">Typology </t>
  </si>
  <si>
    <t xml:space="preserve">Lot 1 </t>
  </si>
  <si>
    <t>1 Bed</t>
  </si>
  <si>
    <t xml:space="preserve">Lot 2 </t>
  </si>
  <si>
    <t>Lot 3</t>
  </si>
  <si>
    <t>Lot 4</t>
  </si>
  <si>
    <t xml:space="preserve">Lot 5 </t>
  </si>
  <si>
    <t>2 Bed</t>
  </si>
  <si>
    <t xml:space="preserve">Lot 6 </t>
  </si>
  <si>
    <t xml:space="preserve">Lot 7 </t>
  </si>
  <si>
    <t xml:space="preserve">Lot 8 </t>
  </si>
  <si>
    <t xml:space="preserve">Lot 9 </t>
  </si>
  <si>
    <t>3 Bed</t>
  </si>
  <si>
    <t xml:space="preserve">Lot 10 </t>
  </si>
  <si>
    <t>Lot 11</t>
  </si>
  <si>
    <t>Lot 12</t>
  </si>
  <si>
    <t>Lot 13</t>
  </si>
  <si>
    <t>Lot 14</t>
  </si>
  <si>
    <t>4 Bed</t>
  </si>
  <si>
    <t>Lot 15</t>
  </si>
  <si>
    <t>Lot 16</t>
  </si>
  <si>
    <t>Lot 17</t>
  </si>
  <si>
    <t>Lot 18</t>
  </si>
  <si>
    <t xml:space="preserve">Yield Analysis </t>
  </si>
  <si>
    <t xml:space="preserve">Area Metrics </t>
  </si>
  <si>
    <t>Estimated Market Value</t>
  </si>
  <si>
    <t xml:space="preserve">Number </t>
  </si>
  <si>
    <t>Floor Area (m²)</t>
  </si>
  <si>
    <t xml:space="preserve">Land Area (m²) </t>
  </si>
  <si>
    <t xml:space="preserve">Improvements </t>
  </si>
  <si>
    <t xml:space="preserve">Land </t>
  </si>
  <si>
    <t xml:space="preserve">$/dwg </t>
  </si>
  <si>
    <t>5 Bed</t>
  </si>
  <si>
    <t>6 Bed</t>
  </si>
  <si>
    <t xml:space="preserve">Total </t>
  </si>
  <si>
    <t xml:space="preserve">Estimated Construction Cost </t>
  </si>
  <si>
    <t>$/dwg</t>
  </si>
  <si>
    <t xml:space="preserve">Total Construction Cost </t>
  </si>
  <si>
    <t xml:space="preserve">Description/Source </t>
  </si>
  <si>
    <t>Rate</t>
  </si>
  <si>
    <t xml:space="preserve">Unit </t>
  </si>
  <si>
    <t>Total $</t>
  </si>
  <si>
    <t xml:space="preserve">Direct Costs </t>
  </si>
  <si>
    <t xml:space="preserve">Total Land Purchase </t>
  </si>
  <si>
    <t>Land Purchase</t>
  </si>
  <si>
    <t xml:space="preserve">Legal, Valuation etc. </t>
  </si>
  <si>
    <t>Site Civils &amp; Infrastructure</t>
  </si>
  <si>
    <t>Offsite Infrastructure</t>
  </si>
  <si>
    <t>Excavation/ Siteworks</t>
  </si>
  <si>
    <t>Road Works</t>
  </si>
  <si>
    <t>Fencing</t>
  </si>
  <si>
    <t xml:space="preserve">Pathways </t>
  </si>
  <si>
    <t>Demolition</t>
  </si>
  <si>
    <t>Disconnections</t>
  </si>
  <si>
    <t>Electricity</t>
  </si>
  <si>
    <t>Phone</t>
  </si>
  <si>
    <t xml:space="preserve">Water   </t>
  </si>
  <si>
    <t xml:space="preserve">Total Site Civils &amp; Infrastructure </t>
  </si>
  <si>
    <t>Professional Fees</t>
  </si>
  <si>
    <t xml:space="preserve">                      </t>
  </si>
  <si>
    <t>Valuation</t>
  </si>
  <si>
    <t>Council LIM</t>
  </si>
  <si>
    <t>Urban Design</t>
  </si>
  <si>
    <t>Architecture</t>
  </si>
  <si>
    <t>Engineering / infrastructure</t>
  </si>
  <si>
    <t>Landscape Design</t>
  </si>
  <si>
    <t>Project Management</t>
  </si>
  <si>
    <t>Legal</t>
  </si>
  <si>
    <t>Insurances</t>
  </si>
  <si>
    <t xml:space="preserve">Total Professional Fees </t>
  </si>
  <si>
    <t>Council Costs</t>
  </si>
  <si>
    <t>Subdivision Consent</t>
  </si>
  <si>
    <t>Resource Consent</t>
  </si>
  <si>
    <t>Building Consent</t>
  </si>
  <si>
    <t>Development Contributions</t>
  </si>
  <si>
    <t xml:space="preserve">Other Council Costs </t>
  </si>
  <si>
    <t xml:space="preserve">Total Council Costs </t>
  </si>
  <si>
    <t xml:space="preserve">Contingency </t>
  </si>
  <si>
    <t>Development Cost Benchmarking</t>
  </si>
  <si>
    <t>Cost</t>
  </si>
  <si>
    <t>Benchmark</t>
  </si>
  <si>
    <t>N/A</t>
  </si>
  <si>
    <t>Council Cost (excl. Development Contributions)</t>
  </si>
  <si>
    <t>Market Value</t>
  </si>
  <si>
    <t xml:space="preserve">Purchase Price </t>
  </si>
  <si>
    <t>Subtotal</t>
  </si>
  <si>
    <t>Total Construction and Development Costs</t>
  </si>
  <si>
    <t>Development Cost</t>
  </si>
  <si>
    <t xml:space="preserve">Month Start </t>
  </si>
  <si>
    <t xml:space="preserve">Month End </t>
  </si>
  <si>
    <t xml:space="preserve">Settlement of Land Purchase </t>
  </si>
  <si>
    <t xml:space="preserve">Property Identification </t>
  </si>
  <si>
    <t>Funding Payment - Quantum</t>
  </si>
  <si>
    <t xml:space="preserve">Construction Costs Quantum </t>
  </si>
  <si>
    <t xml:space="preserve">Legal Description/Reference </t>
  </si>
  <si>
    <t xml:space="preserve">Household Share </t>
  </si>
  <si>
    <t xml:space="preserve">Construction Cost </t>
  </si>
  <si>
    <t xml:space="preserve">Construction Start </t>
  </si>
  <si>
    <t>Lock up Month</t>
  </si>
  <si>
    <t>CCC</t>
  </si>
  <si>
    <t xml:space="preserve">Settlement </t>
  </si>
  <si>
    <t>Acquisition Contract</t>
  </si>
  <si>
    <t>Lock up</t>
  </si>
  <si>
    <t xml:space="preserve">Check </t>
  </si>
  <si>
    <t xml:space="preserve">Total Income </t>
  </si>
  <si>
    <t>Net Realisation - Sale of Lessee Interest</t>
  </si>
  <si>
    <t xml:space="preserve">Ground Rental Income </t>
  </si>
  <si>
    <t xml:space="preserve">Total Ground Rental per month </t>
  </si>
  <si>
    <t xml:space="preserve">Development Costs </t>
  </si>
  <si>
    <t>Construction Costs</t>
  </si>
  <si>
    <t xml:space="preserve">Profit/Loss per month </t>
  </si>
  <si>
    <t>Cumulative Project Surplus/Deficit</t>
  </si>
  <si>
    <t xml:space="preserve">Quantum of PHO funding required per Typology </t>
  </si>
  <si>
    <t xml:space="preserve">Development Option and Timing of PHO Funding </t>
  </si>
  <si>
    <t xml:space="preserve">% PHO Share </t>
  </si>
  <si>
    <t xml:space="preserve">Total PHO $ per dwg </t>
  </si>
  <si>
    <t xml:space="preserve">Acquisition Contract </t>
  </si>
  <si>
    <t xml:space="preserve">Lockup </t>
  </si>
  <si>
    <t xml:space="preserve">Completion </t>
  </si>
  <si>
    <t>Total PHO $ per typology</t>
  </si>
  <si>
    <t>Total funding per milestone</t>
  </si>
  <si>
    <t>Total PHO Funding Required</t>
  </si>
  <si>
    <t xml:space="preserve">Option 3: Acquisition and Construction </t>
  </si>
  <si>
    <t xml:space="preserve">Funding and Capital </t>
  </si>
  <si>
    <t>%</t>
  </si>
  <si>
    <t xml:space="preserve">Month </t>
  </si>
  <si>
    <t xml:space="preserve">MHUD PHO Loan </t>
  </si>
  <si>
    <t xml:space="preserve">Provider Cash Contribution </t>
  </si>
  <si>
    <t xml:space="preserve">Other Source </t>
  </si>
  <si>
    <t xml:space="preserve">Total Lending </t>
  </si>
  <si>
    <t xml:space="preserve">Area </t>
  </si>
  <si>
    <t>Household make up</t>
  </si>
  <si>
    <t>Kiwisaver %</t>
  </si>
  <si>
    <t xml:space="preserve">Approach </t>
  </si>
  <si>
    <t xml:space="preserve">Add household/whānau name </t>
  </si>
  <si>
    <t xml:space="preserve">Shared Equity </t>
  </si>
  <si>
    <t>Yes</t>
  </si>
  <si>
    <t xml:space="preserve">Add Provider Name </t>
  </si>
  <si>
    <t xml:space="preserve">Option 1: On Completion </t>
  </si>
  <si>
    <t xml:space="preserve">Rent to Buy </t>
  </si>
  <si>
    <t>No</t>
  </si>
  <si>
    <t>Add Legal description/RT/identifier</t>
  </si>
  <si>
    <t xml:space="preserve">Discounted Price </t>
  </si>
  <si>
    <t xml:space="preserve">Option 2: Turnkey Development </t>
  </si>
  <si>
    <t>Leasehold</t>
  </si>
  <si>
    <t>Option 4: Construction only (if you already own site)</t>
  </si>
  <si>
    <t xml:space="preserve">Urban Auckland </t>
  </si>
  <si>
    <t>Average weekly household expenditure ($)</t>
  </si>
  <si>
    <t xml:space="preserve">Location </t>
  </si>
  <si>
    <t>Household Type</t>
  </si>
  <si>
    <t xml:space="preserve">Combined </t>
  </si>
  <si>
    <t>Couple Only</t>
  </si>
  <si>
    <t>Couple with 1 dependent child</t>
  </si>
  <si>
    <t>Couple with 2 dependent children</t>
  </si>
  <si>
    <t>Couple with 3 dependent children</t>
  </si>
  <si>
    <t>1 parent with dependent child(ren)</t>
  </si>
  <si>
    <t>1 person</t>
  </si>
  <si>
    <t>Food and Groceries</t>
  </si>
  <si>
    <t>Rent</t>
  </si>
  <si>
    <t>Mortgage</t>
  </si>
  <si>
    <t xml:space="preserve">Passenger Transport </t>
  </si>
  <si>
    <t>1 parent with dependent child (ren)</t>
  </si>
  <si>
    <t xml:space="preserve">Gas/Electricity </t>
  </si>
  <si>
    <t xml:space="preserve">Telephone/mobile/internet services </t>
  </si>
  <si>
    <t xml:space="preserve">Urban Waikato/Bay of Plenty </t>
  </si>
  <si>
    <t>Clothing and footwear</t>
  </si>
  <si>
    <t>Rates</t>
  </si>
  <si>
    <t xml:space="preserve">House/content insurance </t>
  </si>
  <si>
    <t xml:space="preserve">Property maintenance </t>
  </si>
  <si>
    <t xml:space="preserve">Private vehicle costs </t>
  </si>
  <si>
    <t xml:space="preserve">Vehicle Insurance </t>
  </si>
  <si>
    <t xml:space="preserve">Urban Wellington </t>
  </si>
  <si>
    <t xml:space="preserve">Medical Insurance </t>
  </si>
  <si>
    <t>Health/medical expenses</t>
  </si>
  <si>
    <t xml:space="preserve">Life Insurance </t>
  </si>
  <si>
    <t xml:space="preserve">Insurance other and combinations </t>
  </si>
  <si>
    <t xml:space="preserve">Rest of Urban North Island </t>
  </si>
  <si>
    <t xml:space="preserve">Couple with 2 dependent children </t>
  </si>
  <si>
    <t xml:space="preserve">Couple with 3 dependent children </t>
  </si>
  <si>
    <t xml:space="preserve">1 person </t>
  </si>
  <si>
    <t xml:space="preserve">Urban South Island </t>
  </si>
  <si>
    <t xml:space="preserve">Rural </t>
  </si>
  <si>
    <t xml:space="preserve">Inurance other and combinations </t>
  </si>
  <si>
    <t xml:space="preserve">Income </t>
  </si>
  <si>
    <t xml:space="preserve">Per Week </t>
  </si>
  <si>
    <t xml:space="preserve">Other Income </t>
  </si>
  <si>
    <t xml:space="preserve">Test Interest Rate </t>
  </si>
  <si>
    <t xml:space="preserve">Household Expenses </t>
  </si>
  <si>
    <t xml:space="preserve">Benchmark Check </t>
  </si>
  <si>
    <t xml:space="preserve">Year  </t>
  </si>
  <si>
    <t xml:space="preserve">Loan Balance </t>
  </si>
  <si>
    <t xml:space="preserve">Childcare </t>
  </si>
  <si>
    <t>-</t>
  </si>
  <si>
    <t xml:space="preserve">Additional loans/hire purchase </t>
  </si>
  <si>
    <t xml:space="preserve">Total Household Expenses </t>
  </si>
  <si>
    <t>Surplus (per week)</t>
  </si>
  <si>
    <t>Start of Y1</t>
  </si>
  <si>
    <t xml:space="preserve">End of Year </t>
  </si>
  <si>
    <t xml:space="preserve">Time of Application </t>
  </si>
  <si>
    <t>Affordability Benchmarks</t>
  </si>
  <si>
    <t>Market Equivalent Rent ($/week)</t>
  </si>
  <si>
    <t xml:space="preserve">Difference </t>
  </si>
  <si>
    <t>Debt servicing % (DSR)</t>
  </si>
  <si>
    <t xml:space="preserve">Ground Rent </t>
  </si>
  <si>
    <t>Potential Household/Whānau Savings (per annum)</t>
  </si>
  <si>
    <t xml:space="preserve">Whānau Mortgage and Equity </t>
  </si>
  <si>
    <t>Household/Whānau Mortgage</t>
  </si>
  <si>
    <t xml:space="preserve">Household/Whānau Capital Gain </t>
  </si>
  <si>
    <t xml:space="preserve">Household/Whānau Repaid Principal </t>
  </si>
  <si>
    <t xml:space="preserve">Household/Whānau Deposit </t>
  </si>
  <si>
    <t xml:space="preserve">Household/Whānau Total Equity </t>
  </si>
  <si>
    <t xml:space="preserve">Household/Whānau Equity % of Sale Price </t>
  </si>
  <si>
    <t>Household Debt Servicing</t>
  </si>
  <si>
    <t xml:space="preserve">Household/Whānau Income </t>
  </si>
  <si>
    <t xml:space="preserve">Household/Whānau Mortgage Repayments </t>
  </si>
  <si>
    <t xml:space="preserve">Rates and Insurance </t>
  </si>
  <si>
    <t>Ground Rental</t>
  </si>
  <si>
    <t>Weekly household outgoings (rates, insurance, mortgage)</t>
  </si>
  <si>
    <r>
      <t xml:space="preserve">Output or </t>
    </r>
    <r>
      <rPr>
        <sz val="10"/>
        <color rgb="FFFF0000"/>
        <rFont val="Calibri"/>
        <family val="2"/>
        <scheme val="minor"/>
      </rPr>
      <t>(Output)</t>
    </r>
  </si>
  <si>
    <t xml:space="preserve">Owned </t>
  </si>
  <si>
    <t xml:space="preserve">Layout and Objectives of the Model </t>
  </si>
  <si>
    <t xml:space="preserve">How to use this Financial Model </t>
  </si>
  <si>
    <t xml:space="preserve">Purpose </t>
  </si>
  <si>
    <t xml:space="preserve">Input </t>
  </si>
  <si>
    <t xml:space="preserve">Outputs </t>
  </si>
  <si>
    <r>
      <t xml:space="preserve">Indicates cells that contain formulas/output calculations. Negative outputs are coloured </t>
    </r>
    <r>
      <rPr>
        <sz val="10"/>
        <color rgb="FFFF0000"/>
        <rFont val="Calibri"/>
        <family val="2"/>
        <scheme val="minor"/>
      </rPr>
      <t xml:space="preserve">(red). </t>
    </r>
  </si>
  <si>
    <t xml:space="preserve">Indicates cells that contain key output information. </t>
  </si>
  <si>
    <t>Benchmarks</t>
  </si>
  <si>
    <t>Name of Provider:</t>
  </si>
  <si>
    <t>Location/Region:</t>
  </si>
  <si>
    <t>Date of Analysis:</t>
  </si>
  <si>
    <t xml:space="preserve">Key notes from assessment </t>
  </si>
  <si>
    <t>Please fill out the green shaded boxes below:</t>
  </si>
  <si>
    <t>Preliminary Feasibility Budget</t>
  </si>
  <si>
    <t xml:space="preserve">Project Costs </t>
  </si>
  <si>
    <t>1. Project Costs and Revenues</t>
  </si>
  <si>
    <t xml:space="preserve">Estimated Land Cost </t>
  </si>
  <si>
    <t xml:space="preserve">Land Price </t>
  </si>
  <si>
    <t xml:space="preserve">Acquisition Costs </t>
  </si>
  <si>
    <t xml:space="preserve">Total Land Cost </t>
  </si>
  <si>
    <t xml:space="preserve">Estimated Development Costs </t>
  </si>
  <si>
    <t>Development Costs</t>
  </si>
  <si>
    <t xml:space="preserve">Total Project Cost </t>
  </si>
  <si>
    <t>Less GST</t>
  </si>
  <si>
    <t>Less legal costs of sale*</t>
  </si>
  <si>
    <t xml:space="preserve">Project Surplus/Deficit at Completion </t>
  </si>
  <si>
    <t xml:space="preserve">2. Project Funding </t>
  </si>
  <si>
    <t>Equity in land to be developed</t>
  </si>
  <si>
    <t>Specify Source 3</t>
  </si>
  <si>
    <t>Specify Source 4</t>
  </si>
  <si>
    <t xml:space="preserve">1. Base Data </t>
  </si>
  <si>
    <r>
      <t xml:space="preserve">a. Applicant Name </t>
    </r>
    <r>
      <rPr>
        <sz val="11"/>
        <color theme="0" tint="-0.34998626667073579"/>
        <rFont val="Calibri"/>
        <family val="2"/>
        <scheme val="minor"/>
      </rPr>
      <t>(Add household/whānau name)</t>
    </r>
  </si>
  <si>
    <t xml:space="preserve">b. Provider Name </t>
  </si>
  <si>
    <r>
      <t xml:space="preserve">c. Property Identifier </t>
    </r>
    <r>
      <rPr>
        <sz val="11"/>
        <color theme="0" tint="-0.34998626667073579"/>
        <rFont val="Calibri"/>
        <family val="2"/>
        <scheme val="minor"/>
      </rPr>
      <t>(Enter Address, Legal Description etc.)</t>
    </r>
  </si>
  <si>
    <r>
      <t xml:space="preserve">d. Location for Benchmarking </t>
    </r>
    <r>
      <rPr>
        <sz val="11"/>
        <color theme="0" tint="-0.34998626667073579"/>
        <rFont val="Calibri"/>
        <family val="2"/>
        <scheme val="minor"/>
      </rPr>
      <t>(Select from list)</t>
    </r>
  </si>
  <si>
    <t xml:space="preserve">Market Equivalent Rent </t>
  </si>
  <si>
    <r>
      <t xml:space="preserve">e. Household Description </t>
    </r>
    <r>
      <rPr>
        <sz val="11"/>
        <color theme="0" tint="-0.34998626667073579"/>
        <rFont val="Calibri"/>
        <family val="2"/>
        <scheme val="minor"/>
      </rPr>
      <t>(Select from list)</t>
    </r>
  </si>
  <si>
    <t>g. Household/Whānau Income (Before Tax)</t>
  </si>
  <si>
    <t>Salary (Before Tax)</t>
  </si>
  <si>
    <t xml:space="preserve">Kiwisaver Contribution </t>
  </si>
  <si>
    <t>Person 1</t>
  </si>
  <si>
    <t>Person 2</t>
  </si>
  <si>
    <t>Person 3</t>
  </si>
  <si>
    <t>Person 4</t>
  </si>
  <si>
    <t xml:space="preserve">2. Eligibility Criteria Check </t>
  </si>
  <si>
    <r>
      <t xml:space="preserve">a. Is the applicant over 18? </t>
    </r>
    <r>
      <rPr>
        <sz val="11"/>
        <color theme="0" tint="-0.34998626667073579"/>
        <rFont val="Calibri"/>
        <family val="2"/>
        <scheme val="minor"/>
      </rPr>
      <t>(Select Yes or No)</t>
    </r>
  </si>
  <si>
    <r>
      <t xml:space="preserve">b. Does the applicant already own a home? </t>
    </r>
    <r>
      <rPr>
        <sz val="11"/>
        <color theme="0" tint="-0.34998626667073579"/>
        <rFont val="Calibri"/>
        <family val="2"/>
        <scheme val="minor"/>
      </rPr>
      <t>(Select Yes or No)</t>
    </r>
  </si>
  <si>
    <t>c. Is total household income less than or equal to $130,000 before tax?</t>
  </si>
  <si>
    <t xml:space="preserve">4. Household Finances </t>
  </si>
  <si>
    <t>Enter the Household/Whānau sources of funding to determine the residual third party lending requirement</t>
  </si>
  <si>
    <t xml:space="preserve">a. Deposit </t>
  </si>
  <si>
    <t xml:space="preserve">b. Kiwisaver Funds </t>
  </si>
  <si>
    <t xml:space="preserve">d. Other </t>
  </si>
  <si>
    <t xml:space="preserve">Total Third Party Lending Required by the Household </t>
  </si>
  <si>
    <t xml:space="preserve">6. Household/Whānau Mortgage Calculator </t>
  </si>
  <si>
    <t>Enter the Household 'Other Income' and Expenses in the table below, use the benchmark check for comparison</t>
  </si>
  <si>
    <t>Enter a test interest rate and loan term below to calculate the Household/Whānau Mortgage Repayments</t>
  </si>
  <si>
    <t>Weekly Income (after tax and kiwisaver)</t>
  </si>
  <si>
    <t>LVR</t>
  </si>
  <si>
    <t>Years</t>
  </si>
  <si>
    <t xml:space="preserve">Interest &amp; Principal </t>
  </si>
  <si>
    <t>Principal repaid</t>
  </si>
  <si>
    <r>
      <t xml:space="preserve">Other </t>
    </r>
    <r>
      <rPr>
        <sz val="11"/>
        <color theme="0" tint="-0.34998626667073579"/>
        <rFont val="Calibri"/>
        <family val="2"/>
        <scheme val="minor"/>
      </rPr>
      <t>(please specify)</t>
    </r>
  </si>
  <si>
    <t>Please enter the following inputs in the green shaded boxes:</t>
  </si>
  <si>
    <t>b. CPI Inflation - Enter the most up to date estimate of the Consumer Price Index (CPI)</t>
  </si>
  <si>
    <t>c. Market Equivalent Rent - Enter an estimate of the Market Rent for an equivalent home for comparison purposes</t>
  </si>
  <si>
    <t xml:space="preserve">The purpose of this tab is to capture all of the project inputs in terms of revenues, development and construction costs. </t>
  </si>
  <si>
    <t>What is the anticipated Project 'Start Date'?</t>
  </si>
  <si>
    <t>What is the anticipated Project 'End Date'?</t>
  </si>
  <si>
    <t>Property Reference 
(Please Specify)</t>
  </si>
  <si>
    <t xml:space="preserve">Typology
(Select from list) </t>
  </si>
  <si>
    <t>Contingency</t>
  </si>
  <si>
    <t xml:space="preserve">Total Land Costs </t>
  </si>
  <si>
    <t>Contingency (%)</t>
  </si>
  <si>
    <t xml:space="preserve">Total Project Development Costs </t>
  </si>
  <si>
    <t>Total Project Contingency</t>
  </si>
  <si>
    <t>10-20%</t>
  </si>
  <si>
    <t>1. The costs of development and construction are being met by the sources of revenue, funding and capital input, or;</t>
  </si>
  <si>
    <t xml:space="preserve">2. That the provider will require third party lending to meet the months of deficit, and what the level of third party lending required would be. </t>
  </si>
  <si>
    <t xml:space="preserve">1. Development Cost Timing </t>
  </si>
  <si>
    <t xml:space="preserve">2. Construction cost payment, and sale of household share timing </t>
  </si>
  <si>
    <t>Sale Price and Construction Cost</t>
  </si>
  <si>
    <t xml:space="preserve">3. PHO Loan Calculations </t>
  </si>
  <si>
    <t xml:space="preserve">Please select from Development Option 3 or Option 4 in the green shaded box below to determine the drawdown milestones of the PHO loan payment. </t>
  </si>
  <si>
    <t>Less GST (GST)</t>
  </si>
  <si>
    <t xml:space="preserve">Total Realisation </t>
  </si>
  <si>
    <t>Loan Milestones and drawdown</t>
  </si>
  <si>
    <t>To be purchased</t>
  </si>
  <si>
    <t xml:space="preserve">Provider Share </t>
  </si>
  <si>
    <t>Ground Rental Calculation</t>
  </si>
  <si>
    <t xml:space="preserve">% of Land Value </t>
  </si>
  <si>
    <t xml:space="preserve">Total Annual Rental </t>
  </si>
  <si>
    <t>$/dwg/year</t>
  </si>
  <si>
    <t>Total per dwg</t>
  </si>
  <si>
    <t>Purpose</t>
  </si>
  <si>
    <t>Possible Household/Whānau Equity Gain by Year 15</t>
  </si>
  <si>
    <t>b. Improvement Value (Household/Whānau Share)</t>
  </si>
  <si>
    <t>c. Land Value (Provider Share)</t>
  </si>
  <si>
    <t>a. Total Property Purchase Price (including GST, if any)</t>
  </si>
  <si>
    <t xml:space="preserve">d. Ground Rental per annum </t>
  </si>
  <si>
    <t xml:space="preserve">e. Ground Rental per week </t>
  </si>
  <si>
    <t xml:space="preserve">b. CPI inflation </t>
  </si>
  <si>
    <t xml:space="preserve">c. Market Equivalent Rent </t>
  </si>
  <si>
    <t xml:space="preserve">a. Lessee interest Inflation </t>
  </si>
  <si>
    <t xml:space="preserve">a. Lessee Interest Price Inflation - If the lessee interest is to be sold back to the provider (enter the agreed % uplift per annum), if the lessee interest is to be sold on the open market enter an estimate of house price inflation </t>
  </si>
  <si>
    <t>The model uses the following criteria to assess household/whānau affordability:</t>
  </si>
  <si>
    <t xml:space="preserve">The purpose of this tab is to demonstrate whether a household/Whānau can afford to purchase a Lessee Interest in a specified property. </t>
  </si>
  <si>
    <t xml:space="preserve">The model also calculates the household/whānau's equity gain over a 15 year period. </t>
  </si>
  <si>
    <r>
      <t xml:space="preserve">1. Debt Servicing Ratio (DSR %) of </t>
    </r>
    <r>
      <rPr>
        <b/>
        <sz val="11"/>
        <color theme="1"/>
        <rFont val="Calibri"/>
        <family val="2"/>
        <scheme val="minor"/>
      </rPr>
      <t>&lt; 30%</t>
    </r>
    <r>
      <rPr>
        <sz val="11"/>
        <color theme="1"/>
        <rFont val="Calibri"/>
        <family val="2"/>
        <scheme val="minor"/>
      </rPr>
      <t xml:space="preserve"> - The DSR % is the % of income that is attributed to debt servicing,  rates and insurance. </t>
    </r>
  </si>
  <si>
    <t>Project Details</t>
  </si>
  <si>
    <t xml:space="preserve">Project Feasibility and Household/Whānau Affordability Financial Model
Leasehold </t>
  </si>
  <si>
    <r>
      <t xml:space="preserve">Is this a provider led development or a developer led development? </t>
    </r>
    <r>
      <rPr>
        <sz val="11"/>
        <color theme="0" tint="-0.34998626667073579"/>
        <rFont val="Calibri"/>
        <family val="2"/>
        <scheme val="minor"/>
      </rPr>
      <t>(Select from the drop down)</t>
    </r>
  </si>
  <si>
    <t>Provider Led</t>
  </si>
  <si>
    <t>Developer Led</t>
  </si>
  <si>
    <r>
      <t xml:space="preserve">2. Loan to Value Ratio (LVR %) of </t>
    </r>
    <r>
      <rPr>
        <b/>
        <sz val="11"/>
        <color theme="1"/>
        <rFont val="Calibri"/>
        <family val="2"/>
        <scheme val="minor"/>
      </rPr>
      <t>&lt; 70%</t>
    </r>
    <r>
      <rPr>
        <sz val="11"/>
        <color theme="1"/>
        <rFont val="Calibri"/>
        <family val="2"/>
        <scheme val="minor"/>
      </rPr>
      <t xml:space="preserve"> - The LVR % is the ratio of the loan amount to the value of the property.</t>
    </r>
  </si>
  <si>
    <t xml:space="preserve">Estimated Resale Price </t>
  </si>
  <si>
    <t xml:space="preserve">The table below details the resale price, Household/Whānau debt servicing and cumulative equity position over a period of 15 years. The model assumes that the household/whanau have successfully purchased the dwelling at year 1. </t>
  </si>
  <si>
    <t xml:space="preserve">Affordable Housing Model - Leasehold </t>
  </si>
  <si>
    <t xml:space="preserve">The purpose of this tab is to capture the flow of funds (revenues, funding and capital input) against the costs of development and construction, over the construction, development and sale period to demonstrate either: </t>
  </si>
  <si>
    <t xml:space="preserve">Please fill in the green shaded boxes below, these numbers will drive the cashflow below, and the outputs and graph above. </t>
  </si>
  <si>
    <t xml:space="preserve">Total Sales Income and Ground Rental </t>
  </si>
  <si>
    <t xml:space="preserve">Other Funding </t>
  </si>
  <si>
    <t xml:space="preserve">Expenses </t>
  </si>
  <si>
    <t xml:space="preserve">Total PHO Loan and Other Funding </t>
  </si>
  <si>
    <t>Does the Provider require lending?</t>
  </si>
  <si>
    <t xml:space="preserve">Code of Compliance </t>
  </si>
  <si>
    <t>Construction and Sale Milestones (Month)</t>
  </si>
  <si>
    <t xml:space="preserve">Third Party Lending </t>
  </si>
  <si>
    <t xml:space="preserve">1. Property Identification and Typology </t>
  </si>
  <si>
    <t>Interest on Land</t>
  </si>
  <si>
    <t xml:space="preserve">Interest on Construction &amp; Development Costs </t>
  </si>
  <si>
    <t xml:space="preserve">Key Summary Data </t>
  </si>
  <si>
    <t>When is the maximum lending required?</t>
  </si>
  <si>
    <t>How much finance will the provider require at completion?</t>
  </si>
  <si>
    <t xml:space="preserve">Total Funding Sources </t>
  </si>
  <si>
    <t xml:space="preserve">Finance </t>
  </si>
  <si>
    <t>Cashflow Milestones and Timing</t>
  </si>
  <si>
    <t xml:space="preserve">Key Outputs </t>
  </si>
  <si>
    <t xml:space="preserve">Project Cashflow </t>
  </si>
  <si>
    <t>Realisation - Sale of Lessee Interest</t>
  </si>
  <si>
    <t xml:space="preserve">Provider Cumulative Loan Requirement </t>
  </si>
  <si>
    <t>The graph below details the project surplus/deficit per month, and therefore when the Provider will need to have third party lending available to cover the costs to complete the project</t>
  </si>
  <si>
    <t xml:space="preserve">4. Providers Sources of Funding </t>
  </si>
  <si>
    <t>Total Length of Project (Months)</t>
  </si>
  <si>
    <r>
      <t xml:space="preserve">Development Option
</t>
    </r>
    <r>
      <rPr>
        <b/>
        <i/>
        <sz val="11"/>
        <color theme="0" tint="-0.34998626667073579"/>
        <rFont val="Calibri"/>
        <family val="2"/>
        <scheme val="minor"/>
      </rPr>
      <t>(Select from List)</t>
    </r>
  </si>
  <si>
    <t xml:space="preserve">Provider Lending Requirement </t>
  </si>
  <si>
    <t>Preliminary Project Feasibility</t>
  </si>
  <si>
    <t>Cumulative Interest Cost</t>
  </si>
  <si>
    <t>a. What is the cost of the land, or Market Value if it's already owned?</t>
  </si>
  <si>
    <r>
      <t xml:space="preserve">b. What are the costs associated with acquiring the land? </t>
    </r>
    <r>
      <rPr>
        <sz val="11"/>
        <color theme="0" tint="-0.34998626667073579"/>
        <rFont val="Calibri"/>
        <family val="2"/>
        <scheme val="minor"/>
      </rPr>
      <t>(e.g. legal, valuation, LIM)</t>
    </r>
  </si>
  <si>
    <t>c. How many dwellings will be built and sold?</t>
  </si>
  <si>
    <r>
      <t xml:space="preserve">d. What is the average Gross Floor Area of the expected dwellings in square metres? </t>
    </r>
    <r>
      <rPr>
        <sz val="11"/>
        <color theme="0" tint="-0.34998626667073579"/>
        <rFont val="Calibri"/>
        <family val="2"/>
        <scheme val="minor"/>
      </rPr>
      <t>(measured from the external walls)</t>
    </r>
  </si>
  <si>
    <t xml:space="preserve">3. Preliminary Feasibility Budget </t>
  </si>
  <si>
    <t xml:space="preserve">1. Affordable Housing Model (AHM) - To demonstrate whether a household/Whānau can afford to enter into the scheme, along with an assessment of their cumulative equity over a 15 year period. </t>
  </si>
  <si>
    <t>Can the household afford to purchase the Lessee Interest at the Start of Year 1?</t>
  </si>
  <si>
    <t>Start of Year 1 - Debt Servicing Ratio</t>
  </si>
  <si>
    <t>Start of Year 1 - Loan to Value Ratio</t>
  </si>
  <si>
    <t>3. Dwelling Purchase Price and Ownership Structure at Start of Year 1</t>
  </si>
  <si>
    <t>5. Household/Whānau Affordability at Start of Year 1</t>
  </si>
  <si>
    <t>Loan to Value Ratio % (LVR)</t>
  </si>
  <si>
    <t xml:space="preserve">c. First Home Grant </t>
  </si>
  <si>
    <t xml:space="preserve">Detailed Feasibility Inputs </t>
  </si>
  <si>
    <t xml:space="preserve">Detailed Feasibility Model </t>
  </si>
  <si>
    <t xml:space="preserve">3. Detailed Feasibility Inputs/Detailed Feasibility - Provides a more detailed approach to project viability, calculates approximately how much third party lending the Provider will require if they are undertaking the development themselves. </t>
  </si>
  <si>
    <t>Improvements (household/whānau)</t>
  </si>
  <si>
    <t xml:space="preserve">Provider Land Value Retained </t>
  </si>
  <si>
    <t xml:space="preserve">Project Revenue </t>
  </si>
  <si>
    <t>a. What is the total project cost to the provider per dwelling?</t>
  </si>
  <si>
    <t xml:space="preserve">Potential Net Revenue </t>
  </si>
  <si>
    <t xml:space="preserve">Provider Lending Requirement at Completion </t>
  </si>
  <si>
    <t xml:space="preserve">No </t>
  </si>
  <si>
    <t xml:space="preserve">Potential Gross Sales Income </t>
  </si>
  <si>
    <t>e. What do you expect the price or the market value of the dwellings to be on average?</t>
  </si>
  <si>
    <t>f. What price do you expect to sell the lessee interest to the household?</t>
  </si>
  <si>
    <t xml:space="preserve">g. The residual land value or lessor Interest </t>
  </si>
  <si>
    <t>h. What % of land value will you charge the household in ground rental per annum?</t>
  </si>
  <si>
    <t>Provider Ground Rental Income (per annum)</t>
  </si>
  <si>
    <t>i. What do you expect your legal costs to be per dwelling associated with the sale of the lessee interest?</t>
  </si>
  <si>
    <r>
      <t xml:space="preserve">j. What is the likely build cost per square metre? </t>
    </r>
    <r>
      <rPr>
        <sz val="11"/>
        <color theme="0" tint="-0.34998626667073579"/>
        <rFont val="Calibri"/>
        <family val="2"/>
        <scheme val="minor"/>
      </rPr>
      <t>(Measured across the Gross Floor Area)</t>
    </r>
  </si>
  <si>
    <r>
      <t xml:space="preserve">k. What is the estimated cost to develop the property? </t>
    </r>
    <r>
      <rPr>
        <sz val="11"/>
        <color theme="0" tint="-0.34998626667073579"/>
        <rFont val="Calibri"/>
        <family val="2"/>
        <scheme val="minor"/>
      </rPr>
      <t>(E.g. subdivision, consenting, site civils and infrastructure)</t>
    </r>
  </si>
  <si>
    <r>
      <t xml:space="preserve">l. What are development/financial contributions per new lot? </t>
    </r>
    <r>
      <rPr>
        <sz val="11"/>
        <color theme="0" tint="-0.34998626667073579"/>
        <rFont val="Calibri"/>
        <family val="2"/>
        <scheme val="minor"/>
      </rPr>
      <t>(talk to your local Council)</t>
    </r>
  </si>
  <si>
    <r>
      <t xml:space="preserve">m. Provide an estimate of the cost of professional fees </t>
    </r>
    <r>
      <rPr>
        <sz val="11"/>
        <color theme="0" tint="-0.34998626667073579"/>
        <rFont val="Calibri"/>
        <family val="2"/>
        <scheme val="minor"/>
      </rPr>
      <t>(10-15% of construction cost)</t>
    </r>
  </si>
  <si>
    <r>
      <t xml:space="preserve">n. Adopt a contingency % </t>
    </r>
    <r>
      <rPr>
        <sz val="11"/>
        <color theme="0" tint="-0.34998626667073579"/>
        <rFont val="Calibri"/>
        <family val="2"/>
        <scheme val="minor"/>
      </rPr>
      <t>(Typically 10-20% of construction &amp; civils cost)</t>
    </r>
  </si>
  <si>
    <r>
      <t xml:space="preserve">o. Interest on construction/development costs (%) </t>
    </r>
    <r>
      <rPr>
        <sz val="11"/>
        <color theme="0" tint="-0.34998626667073579"/>
        <rFont val="Calibri"/>
        <family val="2"/>
        <scheme val="minor"/>
      </rPr>
      <t xml:space="preserve">Please specify an interest cost </t>
    </r>
  </si>
  <si>
    <r>
      <t>p. Interest on land cost (%)</t>
    </r>
    <r>
      <rPr>
        <sz val="11"/>
        <color theme="0" tint="-0.34998626667073579"/>
        <rFont val="Calibri"/>
        <family val="2"/>
        <scheme val="minor"/>
      </rPr>
      <t xml:space="preserve"> Please specify an interest cost </t>
    </r>
  </si>
  <si>
    <r>
      <t xml:space="preserve">q. How long will planning and site development take? </t>
    </r>
    <r>
      <rPr>
        <sz val="11"/>
        <color theme="0" tint="-0.34998626667073579"/>
        <rFont val="Calibri"/>
        <family val="2"/>
        <scheme val="minor"/>
      </rPr>
      <t>(Months)</t>
    </r>
  </si>
  <si>
    <r>
      <t xml:space="preserve">r. How long will construction take? </t>
    </r>
    <r>
      <rPr>
        <sz val="11"/>
        <color theme="0" tint="-0.34998626667073579"/>
        <rFont val="Calibri"/>
        <family val="2"/>
        <scheme val="minor"/>
      </rPr>
      <t>(Months)</t>
    </r>
  </si>
  <si>
    <r>
      <t xml:space="preserve">s. How long will it take to sell the dwellings? </t>
    </r>
    <r>
      <rPr>
        <sz val="11"/>
        <color theme="0" tint="-0.34998626667073579"/>
        <rFont val="Calibri"/>
        <family val="2"/>
        <scheme val="minor"/>
      </rPr>
      <t>(Months)</t>
    </r>
  </si>
  <si>
    <r>
      <t xml:space="preserve">t. If a developer is undertaking the development, what level of profit would they expect to receive? </t>
    </r>
    <r>
      <rPr>
        <sz val="11"/>
        <color theme="0" tint="-0.34998626667073579"/>
        <rFont val="Calibri"/>
        <family val="2"/>
        <scheme val="minor"/>
      </rPr>
      <t>(% of outlay)</t>
    </r>
  </si>
  <si>
    <r>
      <t xml:space="preserve">b. What share of the total project cost per dwelling will you be seeking PHO loan funding for? </t>
    </r>
    <r>
      <rPr>
        <sz val="11"/>
        <color theme="0" tint="-0.34998626667073579"/>
        <rFont val="Calibri"/>
        <family val="2"/>
        <scheme val="minor"/>
      </rPr>
      <t>(should not exceed 50%)</t>
    </r>
  </si>
  <si>
    <t>d. Do you have any other sources of funding, if so, please specify and quantify below:</t>
  </si>
  <si>
    <t xml:space="preserve">Provider Surplus/Deficit at Completion </t>
  </si>
  <si>
    <t>c. Total PHO loan sought per dwelling</t>
  </si>
  <si>
    <t xml:space="preserve">Provider PHO loan at Completion </t>
  </si>
  <si>
    <t>Sale of the Lessee Interest</t>
  </si>
  <si>
    <t xml:space="preserve">PHO Loan </t>
  </si>
  <si>
    <t xml:space="preserve">Equity in the land </t>
  </si>
  <si>
    <t xml:space="preserve">Other Sources of Funding </t>
  </si>
  <si>
    <t xml:space="preserve">Legal Costs </t>
  </si>
  <si>
    <t xml:space="preserve">Provider Revenue, Funding and Capital </t>
  </si>
  <si>
    <t xml:space="preserve">Provider Costs </t>
  </si>
  <si>
    <t xml:space="preserve">GST - Sale of the Lessee Interest </t>
  </si>
  <si>
    <t xml:space="preserve">Total Cost of Dwellings - Land and Improvements </t>
  </si>
  <si>
    <t xml:space="preserve">Estimated Purchase Price </t>
  </si>
  <si>
    <t>Land Value Retained (Provider)</t>
  </si>
  <si>
    <t xml:space="preserve">2. Market Value, Purchase Price and Ground Rental </t>
  </si>
  <si>
    <t>What is the maximum lending requirement to meet project deficits?</t>
  </si>
  <si>
    <t xml:space="preserve">Specify source 2 </t>
  </si>
  <si>
    <t xml:space="preserve">3. To demonstrate the providers potential financial position at completion of the project, under either a provider led or developer led development </t>
  </si>
  <si>
    <t xml:space="preserve">4. Estimated Provider Financial Position at Completion </t>
  </si>
  <si>
    <t xml:space="preserve">Total Project Cost per dwg </t>
  </si>
  <si>
    <t xml:space="preserve">This page drives the 'Detailed Feasibility' tab, and is only applicable if the provider is undertaking the development themselves. </t>
  </si>
  <si>
    <t xml:space="preserve">This page is only applicable if the provider is undertaking the development themselves. </t>
  </si>
  <si>
    <t>Start of year 1 Debt Servicing, Rates, Insurance (per week)</t>
  </si>
  <si>
    <t xml:space="preserve">1. To provide a high level preliminary feasibility assessment of a provider led development - providers with a site in mind that is owned, or to be purchased for development, with an initial idea of how many dwellings to construct and sell. </t>
  </si>
  <si>
    <t>Purpose:</t>
  </si>
  <si>
    <t>3. Construction Costs (CC)</t>
  </si>
  <si>
    <t>4. Project Development Costs (DC)</t>
  </si>
  <si>
    <t xml:space="preserve">2. Preliminary Feasibility - An initial high level preliminary project feasibility assessment to determine whether a project is viable. </t>
  </si>
  <si>
    <t>Indicates benchmark values to be used for comparison purposes</t>
  </si>
  <si>
    <t>Project Address:</t>
  </si>
  <si>
    <t>7. Whānau/Household Equity and Serviceability over PHO Period</t>
  </si>
  <si>
    <t>2. To provide a high level preliminary feasibility assessment of a developer led development - providers may use this budget to test a developers costs and sale prices to ensure value for money</t>
  </si>
  <si>
    <t>% of Total CC + DC</t>
  </si>
  <si>
    <t>Provider Lessor Interest at Completion*</t>
  </si>
  <si>
    <t xml:space="preserve">*Please note that the estimated Lessor Interest at Completion, does not factor in any potential GST liability </t>
  </si>
  <si>
    <t xml:space="preserve">if the provider is undertaking the development themselves. We suggest provider's obtain accounting advice in relation to GST liabilities. </t>
  </si>
  <si>
    <t xml:space="preserve">Physical Site Works </t>
  </si>
  <si>
    <t xml:space="preserve">Site Works </t>
  </si>
  <si>
    <t xml:space="preserve">Option 5: Physical Site Works and Development </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</si>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</sst>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7" formatCode="&quot;$&quot;#,##0.00;\-&quot;$&quot;#,##0.00"/>
    <numFmt numFmtId="8" formatCode="&quot;$&quot;#,##0.00;[Red]\-&quot;$&quot;#,##0.00"/>
    <numFmt numFmtId="43" formatCode="_-* #,##0.00_-;\-* #,##0.00_-;_-* &quot;-&quot;??_-;_-@_-"/>
    <numFmt numFmtId="164" formatCode="0.0%"/>
    <numFmt numFmtId="165" formatCode="_-* #,##0_-;\-* #,##0_-;_-* &quot;-&quot;??_-;_-@_-"/>
    <numFmt numFmtId="166" formatCode="&quot;$&quot;#,##0"/>
    <numFmt numFmtId="167" formatCode="&quot;$&quot;#,##0;[Red]\(&quot;$&quot;#,##0\)"/>
    <numFmt numFmtId="168" formatCode="#,##0.00_ ;\(#,##0.00\)"/>
    <numFmt numFmtId="169" formatCode="#,##0.00_ ;\-#,##0.00\ "/>
  </numFmts>
  <fonts count="5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sz val="8"/>
      <color theme="1"/>
      <name val="Calibri"/>
      <family val="2"/>
      <scheme val="minor"/>
    </font>
    <font>
      <sz val="11"/>
      <name val="Calibri"/>
      <family val="2"/>
      <scheme val="minor"/>
    </font>
    <font>
      <sz val="10"/>
      <name val="Arial"/>
      <family val="2"/>
    </font>
    <font>
      <b/>
      <sz val="11"/>
      <name val="Arial"/>
      <family val="2"/>
    </font>
    <font>
      <b/>
      <u/>
      <sz val="11"/>
      <name val="Calibri"/>
      <family val="2"/>
      <scheme val="minor"/>
    </font>
    <font>
      <u/>
      <sz val="11"/>
      <name val="Calibri"/>
      <family val="2"/>
      <scheme val="minor"/>
    </font>
    <font>
      <b/>
      <sz val="11"/>
      <color theme="1"/>
      <name val="Arial"/>
      <family val="2"/>
    </font>
    <font>
      <b/>
      <u val="singleAccounting"/>
      <sz val="11"/>
      <color theme="1"/>
      <name val="Arial"/>
      <family val="2"/>
    </font>
    <font>
      <sz val="11"/>
      <color theme="0" tint="-0.34998626667073579"/>
      <name val="Calibri"/>
      <family val="2"/>
      <scheme val="minor"/>
    </font>
    <font>
      <sz val="11"/>
      <color theme="1"/>
      <name val="Arial"/>
      <family val="2"/>
    </font>
    <font>
      <u val="singleAccounting"/>
      <sz val="11"/>
      <color theme="1"/>
      <name val="Arial"/>
      <family val="2"/>
    </font>
    <font>
      <u val="singleAccounting"/>
      <sz val="11"/>
      <color theme="1"/>
      <name val="Calibri"/>
      <family val="2"/>
      <scheme val="minor"/>
    </font>
    <font>
      <sz val="11"/>
      <name val="Arial"/>
      <family val="2"/>
    </font>
    <font>
      <i/>
      <sz val="11"/>
      <color theme="1"/>
      <name val="Calibri"/>
      <family val="2"/>
      <scheme val="minor"/>
    </font>
    <font>
      <u/>
      <sz val="11"/>
      <color theme="1"/>
      <name val="Calibri"/>
      <family val="2"/>
      <scheme val="minor"/>
    </font>
    <font>
      <b/>
      <sz val="11"/>
      <color indexed="8"/>
      <name val="Calibri"/>
      <family val="2"/>
      <scheme val="minor"/>
    </font>
    <font>
      <sz val="10"/>
      <name val="Calibri"/>
      <family val="2"/>
      <scheme val="minor"/>
    </font>
    <font>
      <sz val="11"/>
      <color theme="0" tint="-4.9989318521683403E-2"/>
      <name val="Calibri"/>
      <family val="2"/>
      <scheme val="minor"/>
    </font>
    <font>
      <b/>
      <sz val="11"/>
      <color rgb="FFFF0000"/>
      <name val="Calibri"/>
      <family val="2"/>
      <scheme val="minor"/>
    </font>
    <font>
      <sz val="12"/>
      <color theme="1"/>
      <name val="Calibri"/>
      <family val="2"/>
      <scheme val="minor"/>
    </font>
    <font>
      <i/>
      <sz val="10"/>
      <color theme="1"/>
      <name val="Calibri"/>
      <family val="2"/>
      <scheme val="minor"/>
    </font>
    <font>
      <b/>
      <u/>
      <sz val="11"/>
      <color theme="1"/>
      <name val="Calibri"/>
      <family val="2"/>
      <scheme val="minor"/>
    </font>
    <font>
      <sz val="10"/>
      <color rgb="FFFF0000"/>
      <name val="Calibri"/>
      <family val="2"/>
      <scheme val="minor"/>
    </font>
    <font>
      <b/>
      <sz val="11"/>
      <color theme="0"/>
      <name val="Calibri"/>
      <family val="2"/>
      <scheme val="minor"/>
    </font>
    <font>
      <b/>
      <sz val="18"/>
      <color theme="1"/>
      <name val="Calibri"/>
      <family val="2"/>
      <scheme val="minor"/>
    </font>
    <font>
      <b/>
      <sz val="16"/>
      <color theme="1"/>
      <name val="Calibri"/>
      <family val="2"/>
      <scheme val="minor"/>
    </font>
    <font>
      <b/>
      <sz val="11"/>
      <color rgb="FFFF9900"/>
      <name val="Calibri"/>
      <family val="2"/>
      <scheme val="minor"/>
    </font>
    <font>
      <i/>
      <sz val="11"/>
      <name val="Calibri"/>
      <family val="2"/>
      <scheme val="minor"/>
    </font>
    <font>
      <i/>
      <sz val="9"/>
      <color theme="1"/>
      <name val="Calibri"/>
      <family val="2"/>
      <scheme val="minor"/>
    </font>
    <font>
      <i/>
      <sz val="11"/>
      <color theme="0" tint="-0.34998626667073579"/>
      <name val="Calibri"/>
      <family val="2"/>
      <scheme val="minor"/>
    </font>
    <font>
      <b/>
      <sz val="12"/>
      <color rgb="FFFF9900"/>
      <name val="Calibri"/>
      <family val="2"/>
      <scheme val="minor"/>
    </font>
    <font>
      <i/>
      <sz val="10"/>
      <color theme="0" tint="-0.34998626667073579"/>
      <name val="Calibri"/>
      <family val="2"/>
      <scheme val="minor"/>
    </font>
    <font>
      <i/>
      <sz val="10"/>
      <name val="Calibri"/>
      <family val="2"/>
      <scheme val="minor"/>
    </font>
    <font>
      <b/>
      <sz val="16"/>
      <name val="Calibri"/>
      <family val="2"/>
      <scheme val="minor"/>
    </font>
    <font>
      <b/>
      <sz val="11"/>
      <color rgb="FF00B050"/>
      <name val="Calibri"/>
      <family val="2"/>
      <scheme val="minor"/>
    </font>
    <font>
      <sz val="11"/>
      <color rgb="FF00B050"/>
      <name val="Calibri"/>
      <family val="2"/>
      <scheme val="minor"/>
    </font>
    <font>
      <b/>
      <sz val="14"/>
      <color theme="1"/>
      <name val="Calibri"/>
      <family val="2"/>
      <scheme val="minor"/>
    </font>
    <font>
      <sz val="11"/>
      <color theme="4"/>
      <name val="Calibri"/>
      <family val="2"/>
      <scheme val="minor"/>
    </font>
    <font>
      <b/>
      <sz val="11"/>
      <color rgb="FFFFC000"/>
      <name val="Calibri"/>
      <family val="2"/>
      <scheme val="minor"/>
    </font>
    <font>
      <b/>
      <i/>
      <sz val="11"/>
      <color theme="0" tint="-0.34998626667073579"/>
      <name val="Calibri"/>
      <family val="2"/>
      <scheme val="minor"/>
    </font>
    <font>
      <sz val="14"/>
      <color theme="0"/>
      <name val="Calibri"/>
      <family val="2"/>
      <scheme val="minor"/>
    </font>
    <font>
      <sz val="12"/>
      <color theme="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rgb="FFFFE48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CC00"/>
        <bgColor indexed="64"/>
      </patternFill>
    </fill>
    <fill>
      <patternFill patternType="solid">
        <fgColor theme="4" tint="0.39997558519241921"/>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style="thin">
        <color indexed="64"/>
      </left>
      <right/>
      <top/>
      <bottom style="thin">
        <color theme="0" tint="-0.34998626667073579"/>
      </bottom>
      <diagonal/>
    </border>
    <border>
      <left/>
      <right/>
      <top/>
      <bottom style="thin">
        <color theme="0" tint="-0.34998626667073579"/>
      </bottom>
      <diagonal/>
    </border>
    <border>
      <left/>
      <right style="thin">
        <color indexed="64"/>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diagonal/>
    </border>
    <border>
      <left/>
      <right style="thin">
        <color theme="0" tint="-0.34998626667073579"/>
      </right>
      <top/>
      <bottom style="thin">
        <color indexed="64"/>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indexed="64"/>
      </bottom>
      <diagonal/>
    </border>
    <border>
      <left style="medium">
        <color rgb="FFFF9900"/>
      </left>
      <right style="thin">
        <color indexed="64"/>
      </right>
      <top style="medium">
        <color rgb="FFFF9900"/>
      </top>
      <bottom style="medium">
        <color rgb="FFFF9900"/>
      </bottom>
      <diagonal/>
    </border>
    <border>
      <left style="medium">
        <color rgb="FFFFC000"/>
      </left>
      <right style="medium">
        <color rgb="FFFFC000"/>
      </right>
      <top style="medium">
        <color rgb="FFFFC000"/>
      </top>
      <bottom style="medium">
        <color rgb="FFFFC000"/>
      </bottom>
      <diagonal/>
    </border>
    <border>
      <left style="medium">
        <color rgb="FFFFC000"/>
      </left>
      <right/>
      <top/>
      <bottom/>
      <diagonal/>
    </border>
    <border>
      <left/>
      <right style="medium">
        <color rgb="FFFFC000"/>
      </right>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top/>
      <bottom style="thin">
        <color indexed="64"/>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bottom/>
      <diagonal/>
    </border>
    <border>
      <left style="thin">
        <color theme="0" tint="-0.34998626667073579"/>
      </left>
      <right style="thin">
        <color indexed="64"/>
      </right>
      <top/>
      <bottom style="thin">
        <color theme="0" tint="-0.34998626667073579"/>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 fillId="0" borderId="0"/>
    <xf numFmtId="9" fontId="11" fillId="0" borderId="0" applyFont="0" applyFill="0" applyBorder="0" applyAlignment="0" applyProtection="0"/>
  </cellStyleXfs>
  <cellXfs count="670">
    <xf numFmtId="0" fontId="0" fillId="0" borderId="0" xfId="0"/>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vertical="top" wrapText="1"/>
    </xf>
    <xf numFmtId="0" fontId="6" fillId="2" borderId="0" xfId="0" applyFont="1" applyFill="1"/>
    <xf numFmtId="0" fontId="0" fillId="2" borderId="5" xfId="0" applyFill="1" applyBorder="1" applyAlignment="1">
      <alignment horizontal="center"/>
    </xf>
    <xf numFmtId="0" fontId="6" fillId="2" borderId="4" xfId="0" applyFont="1" applyFill="1" applyBorder="1"/>
    <xf numFmtId="0" fontId="6" fillId="2" borderId="5" xfId="0" applyFont="1" applyFill="1" applyBorder="1" applyAlignment="1">
      <alignment horizontal="center"/>
    </xf>
    <xf numFmtId="0" fontId="0" fillId="2" borderId="10" xfId="0" applyFill="1" applyBorder="1"/>
    <xf numFmtId="0" fontId="3" fillId="2" borderId="0" xfId="0" applyFont="1" applyFill="1"/>
    <xf numFmtId="0" fontId="3" fillId="2" borderId="0" xfId="0" applyFont="1" applyFill="1" applyAlignment="1">
      <alignment vertical="center"/>
    </xf>
    <xf numFmtId="0" fontId="10" fillId="2" borderId="0" xfId="0" applyFont="1" applyFill="1"/>
    <xf numFmtId="0" fontId="0" fillId="2" borderId="11" xfId="0" applyFill="1" applyBorder="1"/>
    <xf numFmtId="0" fontId="3" fillId="2" borderId="8" xfId="0" applyFont="1" applyFill="1" applyBorder="1" applyAlignment="1">
      <alignment horizontal="center"/>
    </xf>
    <xf numFmtId="0" fontId="6" fillId="2" borderId="9" xfId="0" applyFont="1" applyFill="1" applyBorder="1"/>
    <xf numFmtId="0" fontId="3" fillId="2" borderId="0" xfId="0" applyFont="1" applyFill="1" applyAlignment="1">
      <alignment horizontal="left"/>
    </xf>
    <xf numFmtId="5" fontId="0" fillId="2" borderId="0" xfId="0" applyNumberFormat="1" applyFill="1" applyAlignment="1">
      <alignment horizontal="center"/>
    </xf>
    <xf numFmtId="5" fontId="0" fillId="2" borderId="5" xfId="0" applyNumberFormat="1" applyFill="1" applyBorder="1" applyAlignment="1">
      <alignment horizontal="center"/>
    </xf>
    <xf numFmtId="0" fontId="0" fillId="0" borderId="5" xfId="0" applyBorder="1"/>
    <xf numFmtId="5" fontId="16" fillId="2" borderId="0" xfId="1" applyNumberFormat="1" applyFont="1" applyFill="1" applyBorder="1" applyProtection="1"/>
    <xf numFmtId="1" fontId="10" fillId="8" borderId="0" xfId="3" applyNumberFormat="1" applyFont="1" applyFill="1" applyAlignment="1" applyProtection="1">
      <alignment horizontal="center"/>
      <protection locked="0"/>
    </xf>
    <xf numFmtId="5" fontId="0" fillId="8" borderId="0" xfId="1" applyNumberFormat="1" applyFont="1" applyFill="1" applyBorder="1" applyAlignment="1" applyProtection="1">
      <alignment horizontal="center"/>
      <protection locked="0"/>
    </xf>
    <xf numFmtId="5" fontId="0" fillId="2" borderId="5" xfId="1" applyNumberFormat="1" applyFont="1" applyFill="1" applyBorder="1" applyAlignment="1" applyProtection="1">
      <alignment horizontal="center"/>
    </xf>
    <xf numFmtId="9" fontId="17" fillId="2" borderId="0" xfId="2" applyFont="1" applyFill="1" applyBorder="1" applyAlignment="1" applyProtection="1">
      <alignment horizontal="center"/>
    </xf>
    <xf numFmtId="5" fontId="18" fillId="2" borderId="0" xfId="1" applyNumberFormat="1" applyFont="1" applyFill="1" applyBorder="1" applyProtection="1"/>
    <xf numFmtId="5" fontId="3" fillId="2" borderId="5" xfId="1" applyNumberFormat="1" applyFont="1" applyFill="1" applyBorder="1" applyAlignment="1" applyProtection="1">
      <alignment horizontal="center"/>
    </xf>
    <xf numFmtId="9" fontId="3" fillId="2" borderId="0" xfId="2" applyFont="1" applyFill="1" applyBorder="1" applyAlignment="1" applyProtection="1">
      <alignment horizontal="center"/>
    </xf>
    <xf numFmtId="9" fontId="0" fillId="2" borderId="0" xfId="2" applyFont="1" applyFill="1" applyBorder="1" applyAlignment="1" applyProtection="1">
      <alignment horizontal="center"/>
    </xf>
    <xf numFmtId="0" fontId="3" fillId="2" borderId="10" xfId="0" applyFont="1" applyFill="1" applyBorder="1" applyAlignment="1">
      <alignment horizontal="center"/>
    </xf>
    <xf numFmtId="5" fontId="3" fillId="2" borderId="11" xfId="1" applyNumberFormat="1" applyFont="1" applyFill="1" applyBorder="1" applyAlignment="1" applyProtection="1">
      <alignment horizontal="center"/>
    </xf>
    <xf numFmtId="9" fontId="0" fillId="2" borderId="0" xfId="0" applyNumberFormat="1" applyFill="1"/>
    <xf numFmtId="9" fontId="10" fillId="2" borderId="0" xfId="2" applyFont="1" applyFill="1" applyBorder="1" applyAlignment="1" applyProtection="1">
      <alignment horizontal="center"/>
    </xf>
    <xf numFmtId="5" fontId="8" fillId="2" borderId="3" xfId="1" applyNumberFormat="1" applyFont="1" applyFill="1" applyBorder="1" applyAlignment="1" applyProtection="1">
      <alignment horizontal="center"/>
    </xf>
    <xf numFmtId="9" fontId="8" fillId="2" borderId="0" xfId="2" applyFont="1" applyFill="1" applyBorder="1" applyAlignment="1" applyProtection="1">
      <alignment horizontal="center"/>
    </xf>
    <xf numFmtId="0" fontId="8" fillId="2" borderId="0" xfId="1" applyNumberFormat="1" applyFont="1" applyFill="1" applyBorder="1" applyProtection="1"/>
    <xf numFmtId="5" fontId="12" fillId="2" borderId="0" xfId="1" applyNumberFormat="1" applyFont="1" applyFill="1" applyBorder="1" applyProtection="1"/>
    <xf numFmtId="164" fontId="0" fillId="2" borderId="0" xfId="2" applyNumberFormat="1" applyFont="1" applyFill="1" applyBorder="1" applyAlignment="1" applyProtection="1">
      <alignment horizontal="center"/>
    </xf>
    <xf numFmtId="164" fontId="0" fillId="2" borderId="10" xfId="2" applyNumberFormat="1" applyFont="1" applyFill="1" applyBorder="1" applyAlignment="1" applyProtection="1">
      <alignment horizontal="center"/>
    </xf>
    <xf numFmtId="0" fontId="0" fillId="2" borderId="4" xfId="0" applyFill="1" applyBorder="1" applyAlignment="1">
      <alignment horizontal="left"/>
    </xf>
    <xf numFmtId="0" fontId="0" fillId="2" borderId="0" xfId="0" applyFill="1" applyAlignment="1">
      <alignment horizontal="left"/>
    </xf>
    <xf numFmtId="0" fontId="2" fillId="2" borderId="0" xfId="0" applyFont="1" applyFill="1"/>
    <xf numFmtId="0" fontId="0" fillId="2" borderId="4" xfId="0" applyFill="1" applyBorder="1" applyAlignment="1">
      <alignment horizontal="left" indent="1"/>
    </xf>
    <xf numFmtId="5" fontId="0" fillId="2" borderId="0" xfId="0" applyNumberFormat="1" applyFill="1"/>
    <xf numFmtId="0" fontId="0" fillId="8" borderId="5" xfId="0" applyFill="1" applyBorder="1" applyAlignment="1" applyProtection="1">
      <alignment horizontal="center"/>
      <protection locked="0"/>
    </xf>
    <xf numFmtId="0" fontId="4" fillId="2" borderId="0" xfId="0" applyFont="1" applyFill="1"/>
    <xf numFmtId="0" fontId="4" fillId="2" borderId="0" xfId="0" applyFont="1" applyFill="1" applyAlignment="1">
      <alignment horizontal="center"/>
    </xf>
    <xf numFmtId="0" fontId="0" fillId="8" borderId="14" xfId="0" applyFill="1" applyBorder="1" applyAlignment="1" applyProtection="1">
      <alignment horizontal="center"/>
      <protection locked="0"/>
    </xf>
    <xf numFmtId="0" fontId="0" fillId="8" borderId="6" xfId="0" applyFill="1" applyBorder="1" applyAlignment="1" applyProtection="1">
      <alignment horizontal="center"/>
      <protection locked="0"/>
    </xf>
    <xf numFmtId="0" fontId="0" fillId="8" borderId="12" xfId="0" applyFill="1" applyBorder="1" applyAlignment="1" applyProtection="1">
      <alignment horizontal="center"/>
      <protection locked="0"/>
    </xf>
    <xf numFmtId="0" fontId="0" fillId="8" borderId="4" xfId="0" applyFill="1" applyBorder="1" applyAlignment="1" applyProtection="1">
      <alignment horizontal="center"/>
      <protection locked="0"/>
    </xf>
    <xf numFmtId="0" fontId="0" fillId="8" borderId="13" xfId="0" applyFill="1" applyBorder="1" applyAlignment="1" applyProtection="1">
      <alignment horizontal="center"/>
      <protection locked="0"/>
    </xf>
    <xf numFmtId="0" fontId="0" fillId="8" borderId="0" xfId="0" applyFill="1" applyAlignment="1">
      <alignment horizontal="center"/>
    </xf>
    <xf numFmtId="167" fontId="0" fillId="2" borderId="5" xfId="0" applyNumberFormat="1" applyFill="1" applyBorder="1" applyAlignment="1">
      <alignment horizontal="center"/>
    </xf>
    <xf numFmtId="0" fontId="3" fillId="2" borderId="6" xfId="0" applyFont="1" applyFill="1" applyBorder="1" applyAlignment="1">
      <alignment horizontal="left"/>
    </xf>
    <xf numFmtId="0" fontId="0" fillId="0" borderId="4" xfId="0" applyBorder="1"/>
    <xf numFmtId="5" fontId="0" fillId="2" borderId="0" xfId="1" applyNumberFormat="1" applyFont="1" applyFill="1" applyBorder="1" applyAlignment="1" applyProtection="1">
      <alignment horizontal="center"/>
    </xf>
    <xf numFmtId="0" fontId="10" fillId="8" borderId="5" xfId="3" applyFont="1" applyFill="1" applyBorder="1" applyAlignment="1" applyProtection="1">
      <alignment horizontal="center"/>
      <protection locked="0"/>
    </xf>
    <xf numFmtId="0" fontId="10" fillId="8" borderId="4" xfId="3" applyFont="1" applyFill="1" applyBorder="1" applyAlignment="1" applyProtection="1">
      <alignment horizontal="left" indent="1"/>
      <protection locked="0"/>
    </xf>
    <xf numFmtId="0" fontId="0" fillId="11" borderId="0" xfId="0" applyFill="1"/>
    <xf numFmtId="0" fontId="0" fillId="11" borderId="0" xfId="0" applyFill="1" applyAlignment="1">
      <alignment horizontal="center"/>
    </xf>
    <xf numFmtId="0" fontId="3" fillId="2" borderId="4" xfId="0" applyFont="1" applyFill="1" applyBorder="1"/>
    <xf numFmtId="9" fontId="3" fillId="2" borderId="0" xfId="0" applyNumberFormat="1" applyFont="1" applyFill="1" applyAlignment="1">
      <alignment horizontal="center"/>
    </xf>
    <xf numFmtId="164" fontId="8" fillId="2" borderId="0" xfId="5" applyNumberFormat="1" applyFont="1" applyFill="1" applyBorder="1" applyAlignment="1" applyProtection="1">
      <alignment horizontal="center"/>
    </xf>
    <xf numFmtId="9" fontId="10" fillId="2" borderId="10" xfId="0" applyNumberFormat="1" applyFont="1" applyFill="1" applyBorder="1" applyAlignment="1">
      <alignment horizontal="center"/>
    </xf>
    <xf numFmtId="0" fontId="3" fillId="0" borderId="0" xfId="0" applyFont="1"/>
    <xf numFmtId="0" fontId="0" fillId="0" borderId="0" xfId="0" applyAlignment="1">
      <alignment horizontal="center"/>
    </xf>
    <xf numFmtId="0" fontId="3" fillId="0" borderId="15" xfId="0" applyFont="1" applyBorder="1"/>
    <xf numFmtId="0" fontId="3" fillId="0" borderId="18" xfId="0" applyFont="1" applyBorder="1"/>
    <xf numFmtId="0" fontId="3" fillId="0" borderId="19" xfId="0" applyFont="1" applyBorder="1" applyAlignment="1">
      <alignment horizontal="center" wrapText="1"/>
    </xf>
    <xf numFmtId="0" fontId="3" fillId="0" borderId="20" xfId="0" applyFont="1" applyBorder="1" applyAlignment="1">
      <alignment horizontal="center"/>
    </xf>
    <xf numFmtId="5" fontId="10" fillId="0" borderId="0" xfId="0" applyNumberFormat="1" applyFont="1" applyAlignment="1">
      <alignment horizontal="left"/>
    </xf>
    <xf numFmtId="0" fontId="10" fillId="10" borderId="0" xfId="0" applyFont="1" applyFill="1" applyAlignment="1">
      <alignment horizontal="left"/>
    </xf>
    <xf numFmtId="0" fontId="0" fillId="10" borderId="0" xfId="0" applyFill="1"/>
    <xf numFmtId="0" fontId="0" fillId="10" borderId="0" xfId="0" applyFill="1" applyAlignment="1">
      <alignment horizontal="center"/>
    </xf>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10" fillId="0" borderId="0" xfId="0" applyFont="1" applyAlignment="1">
      <alignment horizontal="left"/>
    </xf>
    <xf numFmtId="0" fontId="0" fillId="0" borderId="21" xfId="0" applyBorder="1"/>
    <xf numFmtId="0" fontId="0" fillId="0" borderId="22" xfId="0" applyBorder="1" applyAlignment="1">
      <alignment horizontal="center"/>
    </xf>
    <xf numFmtId="0" fontId="10" fillId="11" borderId="0" xfId="0" applyFont="1" applyFill="1" applyAlignment="1">
      <alignment horizontal="left"/>
    </xf>
    <xf numFmtId="0" fontId="10" fillId="6" borderId="0" xfId="0" applyFont="1" applyFill="1" applyAlignment="1">
      <alignment horizontal="left"/>
    </xf>
    <xf numFmtId="0" fontId="0" fillId="6" borderId="0" xfId="0" applyFill="1"/>
    <xf numFmtId="0" fontId="0" fillId="6" borderId="0" xfId="0" applyFill="1" applyAlignment="1">
      <alignment horizontal="center"/>
    </xf>
    <xf numFmtId="0" fontId="0" fillId="0" borderId="18" xfId="0" applyBorder="1"/>
    <xf numFmtId="0" fontId="0" fillId="0" borderId="19" xfId="0" applyBorder="1" applyAlignment="1">
      <alignment horizontal="center"/>
    </xf>
    <xf numFmtId="0" fontId="0" fillId="0" borderId="20" xfId="0" applyBorder="1" applyAlignment="1">
      <alignment horizontal="center"/>
    </xf>
    <xf numFmtId="0" fontId="10" fillId="12" borderId="0" xfId="0" applyFont="1" applyFill="1" applyAlignment="1">
      <alignment horizontal="left"/>
    </xf>
    <xf numFmtId="0" fontId="0" fillId="12" borderId="0" xfId="0" applyFill="1"/>
    <xf numFmtId="0" fontId="0" fillId="12" borderId="0" xfId="0" applyFill="1" applyAlignment="1">
      <alignment horizontal="center"/>
    </xf>
    <xf numFmtId="0" fontId="10" fillId="8" borderId="0" xfId="0" applyFont="1" applyFill="1" applyAlignment="1">
      <alignment horizontal="left"/>
    </xf>
    <xf numFmtId="0" fontId="0" fillId="8" borderId="0" xfId="0" applyFill="1"/>
    <xf numFmtId="0" fontId="3" fillId="0" borderId="21" xfId="0" applyFont="1" applyBorder="1"/>
    <xf numFmtId="0" fontId="3" fillId="0" borderId="0" xfId="0" applyFont="1" applyAlignment="1">
      <alignment horizontal="center" wrapText="1"/>
    </xf>
    <xf numFmtId="0" fontId="3" fillId="0" borderId="22" xfId="0" applyFont="1" applyBorder="1" applyAlignment="1">
      <alignment horizontal="center"/>
    </xf>
    <xf numFmtId="43" fontId="4" fillId="2" borderId="0" xfId="1" applyFont="1" applyFill="1"/>
    <xf numFmtId="7" fontId="0" fillId="2" borderId="0" xfId="0" applyNumberFormat="1" applyFill="1"/>
    <xf numFmtId="5" fontId="3" fillId="2" borderId="5" xfId="0" applyNumberFormat="1" applyFont="1" applyFill="1" applyBorder="1" applyAlignment="1">
      <alignment horizontal="center"/>
    </xf>
    <xf numFmtId="0" fontId="10" fillId="2" borderId="4" xfId="0" applyFont="1" applyFill="1" applyBorder="1"/>
    <xf numFmtId="0" fontId="3" fillId="2" borderId="5" xfId="0" applyFont="1" applyFill="1" applyBorder="1" applyAlignment="1">
      <alignment horizontal="center"/>
    </xf>
    <xf numFmtId="0" fontId="29" fillId="2" borderId="0" xfId="0" applyFont="1" applyFill="1" applyAlignment="1">
      <alignment horizontal="center"/>
    </xf>
    <xf numFmtId="0" fontId="10" fillId="2" borderId="0" xfId="0" applyFont="1" applyFill="1" applyAlignment="1">
      <alignment horizontal="center"/>
    </xf>
    <xf numFmtId="8" fontId="0" fillId="2" borderId="0" xfId="0" applyNumberFormat="1" applyFill="1" applyAlignment="1">
      <alignment horizontal="center"/>
    </xf>
    <xf numFmtId="168" fontId="10" fillId="2" borderId="10" xfId="0" applyNumberFormat="1" applyFont="1" applyFill="1" applyBorder="1" applyAlignment="1">
      <alignment horizontal="center"/>
    </xf>
    <xf numFmtId="5" fontId="5" fillId="2" borderId="0" xfId="0" applyNumberFormat="1" applyFont="1" applyFill="1" applyAlignment="1">
      <alignment horizontal="center"/>
    </xf>
    <xf numFmtId="5" fontId="3" fillId="2" borderId="33" xfId="0" applyNumberFormat="1" applyFont="1" applyFill="1" applyBorder="1" applyAlignment="1">
      <alignment horizontal="center"/>
    </xf>
    <xf numFmtId="5" fontId="3" fillId="2" borderId="36" xfId="0" applyNumberFormat="1" applyFont="1" applyFill="1" applyBorder="1" applyAlignment="1">
      <alignment horizontal="center"/>
    </xf>
    <xf numFmtId="9" fontId="3" fillId="2" borderId="36" xfId="0" applyNumberFormat="1" applyFont="1" applyFill="1" applyBorder="1" applyAlignment="1">
      <alignment horizontal="center"/>
    </xf>
    <xf numFmtId="0" fontId="0" fillId="2" borderId="33" xfId="0" applyFill="1" applyBorder="1"/>
    <xf numFmtId="5" fontId="0" fillId="2" borderId="33" xfId="0" applyNumberFormat="1" applyFill="1" applyBorder="1" applyAlignment="1">
      <alignment horizontal="center"/>
    </xf>
    <xf numFmtId="5" fontId="0" fillId="2" borderId="36" xfId="0" applyNumberFormat="1" applyFill="1" applyBorder="1" applyAlignment="1">
      <alignment horizontal="center"/>
    </xf>
    <xf numFmtId="0" fontId="0" fillId="2" borderId="36" xfId="0" applyFill="1" applyBorder="1"/>
    <xf numFmtId="5" fontId="10" fillId="2" borderId="38" xfId="2" applyNumberFormat="1" applyFont="1" applyFill="1" applyBorder="1" applyAlignment="1">
      <alignment horizontal="center"/>
    </xf>
    <xf numFmtId="5" fontId="10" fillId="2" borderId="37" xfId="2" applyNumberFormat="1" applyFont="1" applyFill="1" applyBorder="1" applyAlignment="1">
      <alignment horizontal="center"/>
    </xf>
    <xf numFmtId="5" fontId="3" fillId="5" borderId="36" xfId="0" applyNumberFormat="1" applyFont="1" applyFill="1" applyBorder="1" applyAlignment="1">
      <alignment horizontal="center"/>
    </xf>
    <xf numFmtId="5" fontId="3" fillId="5" borderId="33" xfId="0" applyNumberFormat="1" applyFont="1" applyFill="1" applyBorder="1" applyAlignment="1">
      <alignment horizontal="center"/>
    </xf>
    <xf numFmtId="5" fontId="3" fillId="5" borderId="5" xfId="0" applyNumberFormat="1" applyFont="1" applyFill="1" applyBorder="1" applyAlignment="1">
      <alignment horizontal="center"/>
    </xf>
    <xf numFmtId="5" fontId="10" fillId="2" borderId="33" xfId="2" applyNumberFormat="1" applyFont="1" applyFill="1" applyBorder="1" applyAlignment="1">
      <alignment horizontal="center"/>
    </xf>
    <xf numFmtId="5" fontId="10" fillId="2" borderId="36" xfId="2" applyNumberFormat="1" applyFont="1" applyFill="1" applyBorder="1" applyAlignment="1">
      <alignment horizontal="center"/>
    </xf>
    <xf numFmtId="5" fontId="10" fillId="2" borderId="5" xfId="2" applyNumberFormat="1" applyFont="1" applyFill="1" applyBorder="1" applyAlignment="1">
      <alignment horizontal="center"/>
    </xf>
    <xf numFmtId="167" fontId="0" fillId="2" borderId="33" xfId="0" applyNumberFormat="1" applyFill="1" applyBorder="1" applyAlignment="1">
      <alignment horizontal="center"/>
    </xf>
    <xf numFmtId="6" fontId="10" fillId="2" borderId="36" xfId="0" applyNumberFormat="1" applyFont="1" applyFill="1" applyBorder="1" applyAlignment="1">
      <alignment horizontal="center"/>
    </xf>
    <xf numFmtId="6" fontId="10" fillId="2" borderId="33" xfId="0" applyNumberFormat="1" applyFont="1" applyFill="1" applyBorder="1" applyAlignment="1">
      <alignment horizontal="center"/>
    </xf>
    <xf numFmtId="5" fontId="3" fillId="5" borderId="32" xfId="0" applyNumberFormat="1" applyFont="1" applyFill="1" applyBorder="1" applyAlignment="1">
      <alignment horizontal="center"/>
    </xf>
    <xf numFmtId="6" fontId="10" fillId="2" borderId="33" xfId="2" applyNumberFormat="1" applyFont="1" applyFill="1" applyBorder="1" applyAlignment="1">
      <alignment horizontal="center"/>
    </xf>
    <xf numFmtId="6" fontId="10" fillId="2" borderId="36" xfId="2" applyNumberFormat="1" applyFont="1" applyFill="1" applyBorder="1" applyAlignment="1">
      <alignment horizontal="center"/>
    </xf>
    <xf numFmtId="6" fontId="10" fillId="2" borderId="5" xfId="2" applyNumberFormat="1" applyFont="1" applyFill="1" applyBorder="1" applyAlignment="1">
      <alignment horizontal="center"/>
    </xf>
    <xf numFmtId="9" fontId="10" fillId="2" borderId="33" xfId="2" applyFont="1" applyFill="1" applyBorder="1" applyAlignment="1">
      <alignment horizontal="center"/>
    </xf>
    <xf numFmtId="0" fontId="10" fillId="2" borderId="9" xfId="0" applyFont="1" applyFill="1" applyBorder="1"/>
    <xf numFmtId="9" fontId="10" fillId="2" borderId="35" xfId="0" applyNumberFormat="1" applyFont="1" applyFill="1" applyBorder="1" applyAlignment="1">
      <alignment horizontal="center"/>
    </xf>
    <xf numFmtId="9" fontId="10" fillId="2" borderId="39" xfId="2" applyFont="1" applyFill="1" applyBorder="1" applyAlignment="1">
      <alignment horizontal="center"/>
    </xf>
    <xf numFmtId="5" fontId="0" fillId="2" borderId="25" xfId="0" applyNumberFormat="1" applyFill="1" applyBorder="1" applyAlignment="1">
      <alignment horizontal="center"/>
    </xf>
    <xf numFmtId="0" fontId="3" fillId="2" borderId="28" xfId="0" applyFont="1" applyFill="1" applyBorder="1" applyAlignment="1">
      <alignment horizontal="center"/>
    </xf>
    <xf numFmtId="0" fontId="3" fillId="2" borderId="26" xfId="0" applyFont="1" applyFill="1" applyBorder="1"/>
    <xf numFmtId="0" fontId="30" fillId="2" borderId="0" xfId="0" applyFont="1" applyFill="1"/>
    <xf numFmtId="0" fontId="3" fillId="4" borderId="33" xfId="0" applyFont="1" applyFill="1" applyBorder="1" applyAlignment="1">
      <alignment horizontal="center"/>
    </xf>
    <xf numFmtId="0" fontId="0" fillId="4" borderId="29" xfId="0" applyFill="1" applyBorder="1"/>
    <xf numFmtId="0" fontId="0" fillId="4" borderId="30" xfId="0" applyFill="1" applyBorder="1"/>
    <xf numFmtId="0" fontId="0" fillId="4" borderId="37" xfId="0" applyFill="1" applyBorder="1"/>
    <xf numFmtId="0" fontId="3" fillId="4" borderId="38" xfId="0" applyFont="1" applyFill="1" applyBorder="1" applyAlignment="1">
      <alignment horizontal="center"/>
    </xf>
    <xf numFmtId="0" fontId="3" fillId="4" borderId="37" xfId="0" applyFont="1" applyFill="1" applyBorder="1" applyAlignment="1">
      <alignment horizontal="center"/>
    </xf>
    <xf numFmtId="0" fontId="3" fillId="4" borderId="30" xfId="0" applyFont="1" applyFill="1" applyBorder="1" applyAlignment="1">
      <alignment horizontal="center"/>
    </xf>
    <xf numFmtId="0" fontId="3" fillId="4" borderId="31" xfId="0" applyFont="1" applyFill="1" applyBorder="1" applyAlignment="1">
      <alignment horizontal="center"/>
    </xf>
    <xf numFmtId="0" fontId="0" fillId="5" borderId="34" xfId="0" applyFill="1" applyBorder="1"/>
    <xf numFmtId="5" fontId="3" fillId="2" borderId="0" xfId="0" applyNumberFormat="1" applyFont="1" applyFill="1" applyAlignment="1">
      <alignment horizontal="center"/>
    </xf>
    <xf numFmtId="6" fontId="0" fillId="2" borderId="33" xfId="0" applyNumberFormat="1" applyFill="1" applyBorder="1" applyAlignment="1">
      <alignment horizontal="center"/>
    </xf>
    <xf numFmtId="5" fontId="10" fillId="2" borderId="0" xfId="2" applyNumberFormat="1" applyFont="1" applyFill="1" applyBorder="1" applyAlignment="1">
      <alignment horizontal="center"/>
    </xf>
    <xf numFmtId="0" fontId="10" fillId="2" borderId="30" xfId="0" applyFont="1" applyFill="1" applyBorder="1"/>
    <xf numFmtId="9" fontId="10" fillId="2" borderId="37" xfId="2" applyFont="1" applyFill="1" applyBorder="1" applyAlignment="1">
      <alignment horizontal="center"/>
    </xf>
    <xf numFmtId="9" fontId="10" fillId="2" borderId="31" xfId="2" applyFont="1" applyFill="1" applyBorder="1" applyAlignment="1">
      <alignment horizontal="center"/>
    </xf>
    <xf numFmtId="0" fontId="0" fillId="5" borderId="36" xfId="0" applyFill="1" applyBorder="1"/>
    <xf numFmtId="6" fontId="0" fillId="2" borderId="36" xfId="0" applyNumberFormat="1" applyFill="1" applyBorder="1" applyAlignment="1">
      <alignment horizontal="center"/>
    </xf>
    <xf numFmtId="9" fontId="10" fillId="2" borderId="0" xfId="2" applyFont="1" applyFill="1" applyBorder="1" applyAlignment="1">
      <alignment horizontal="center"/>
    </xf>
    <xf numFmtId="8" fontId="0" fillId="2" borderId="0" xfId="0" applyNumberFormat="1" applyFill="1"/>
    <xf numFmtId="0" fontId="3" fillId="0" borderId="6" xfId="0" applyFont="1" applyBorder="1"/>
    <xf numFmtId="0" fontId="3" fillId="0" borderId="7" xfId="0" applyFont="1" applyBorder="1"/>
    <xf numFmtId="0" fontId="3" fillId="0" borderId="7" xfId="0" applyFont="1" applyBorder="1" applyAlignment="1">
      <alignment wrapText="1"/>
    </xf>
    <xf numFmtId="0" fontId="3" fillId="0" borderId="8" xfId="0" applyFont="1" applyBorder="1" applyAlignment="1">
      <alignment wrapText="1"/>
    </xf>
    <xf numFmtId="5" fontId="10" fillId="10" borderId="4" xfId="0" applyNumberFormat="1" applyFont="1" applyFill="1" applyBorder="1" applyAlignment="1">
      <alignment horizontal="left"/>
    </xf>
    <xf numFmtId="0" fontId="0" fillId="10" borderId="5" xfId="0" applyFill="1" applyBorder="1" applyAlignment="1">
      <alignment horizontal="center"/>
    </xf>
    <xf numFmtId="0" fontId="10" fillId="10" borderId="4" xfId="0" applyFont="1" applyFill="1" applyBorder="1" applyAlignment="1">
      <alignment horizontal="left"/>
    </xf>
    <xf numFmtId="5" fontId="10" fillId="11" borderId="4" xfId="0" applyNumberFormat="1" applyFont="1" applyFill="1" applyBorder="1" applyAlignment="1">
      <alignment horizontal="left"/>
    </xf>
    <xf numFmtId="0" fontId="0" fillId="11" borderId="5" xfId="0" applyFill="1" applyBorder="1" applyAlignment="1">
      <alignment horizontal="center"/>
    </xf>
    <xf numFmtId="0" fontId="10" fillId="11" borderId="4" xfId="0" applyFont="1" applyFill="1" applyBorder="1" applyAlignment="1">
      <alignment horizontal="left"/>
    </xf>
    <xf numFmtId="0" fontId="10" fillId="6" borderId="4" xfId="0" applyFont="1" applyFill="1" applyBorder="1" applyAlignment="1">
      <alignment horizontal="left"/>
    </xf>
    <xf numFmtId="0" fontId="0" fillId="6" borderId="5" xfId="0" applyFill="1" applyBorder="1" applyAlignment="1">
      <alignment horizontal="center"/>
    </xf>
    <xf numFmtId="0" fontId="10" fillId="12" borderId="4" xfId="0" applyFont="1" applyFill="1" applyBorder="1" applyAlignment="1">
      <alignment horizontal="left"/>
    </xf>
    <xf numFmtId="0" fontId="0" fillId="12" borderId="5" xfId="0" applyFill="1" applyBorder="1" applyAlignment="1">
      <alignment horizontal="center"/>
    </xf>
    <xf numFmtId="0" fontId="10" fillId="8" borderId="4" xfId="0" applyFont="1" applyFill="1" applyBorder="1" applyAlignment="1">
      <alignment horizontal="left"/>
    </xf>
    <xf numFmtId="0" fontId="0" fillId="8" borderId="5" xfId="0" applyFill="1" applyBorder="1" applyAlignment="1">
      <alignment horizontal="center"/>
    </xf>
    <xf numFmtId="0" fontId="10" fillId="6" borderId="9" xfId="0" applyFont="1" applyFill="1" applyBorder="1" applyAlignment="1">
      <alignment horizontal="left"/>
    </xf>
    <xf numFmtId="0" fontId="10" fillId="6" borderId="10" xfId="0" applyFont="1" applyFill="1" applyBorder="1" applyAlignment="1">
      <alignment horizontal="left"/>
    </xf>
    <xf numFmtId="0" fontId="0" fillId="6" borderId="10" xfId="0" applyFill="1" applyBorder="1"/>
    <xf numFmtId="0" fontId="0" fillId="6" borderId="10" xfId="0" applyFill="1" applyBorder="1" applyAlignment="1">
      <alignment horizontal="center"/>
    </xf>
    <xf numFmtId="0" fontId="0" fillId="6" borderId="11" xfId="0" applyFill="1" applyBorder="1" applyAlignment="1">
      <alignment horizontal="center"/>
    </xf>
    <xf numFmtId="5" fontId="0" fillId="8" borderId="5" xfId="0" applyNumberFormat="1" applyFill="1" applyBorder="1" applyAlignment="1" applyProtection="1">
      <alignment horizontal="center"/>
      <protection locked="0"/>
    </xf>
    <xf numFmtId="0" fontId="0" fillId="8" borderId="5" xfId="0" applyFill="1" applyBorder="1"/>
    <xf numFmtId="5" fontId="0" fillId="8" borderId="4" xfId="0" applyNumberFormat="1" applyFill="1" applyBorder="1" applyAlignment="1" applyProtection="1">
      <alignment horizontal="center"/>
      <protection locked="0"/>
    </xf>
    <xf numFmtId="5" fontId="0" fillId="8" borderId="0" xfId="0" applyNumberFormat="1" applyFill="1" applyAlignment="1" applyProtection="1">
      <alignment horizontal="center"/>
      <protection locked="0"/>
    </xf>
    <xf numFmtId="5" fontId="0" fillId="8" borderId="10" xfId="0" applyNumberFormat="1" applyFill="1" applyBorder="1" applyAlignment="1" applyProtection="1">
      <alignment horizontal="center"/>
      <protection locked="0"/>
    </xf>
    <xf numFmtId="0" fontId="3" fillId="11" borderId="7" xfId="1" applyNumberFormat="1" applyFont="1" applyFill="1" applyBorder="1" applyProtection="1"/>
    <xf numFmtId="0" fontId="3" fillId="4" borderId="7" xfId="0" applyFont="1" applyFill="1" applyBorder="1" applyAlignment="1">
      <alignment horizontal="center"/>
    </xf>
    <xf numFmtId="0" fontId="3" fillId="4" borderId="8" xfId="0" applyFont="1" applyFill="1" applyBorder="1" applyAlignment="1">
      <alignment horizontal="center"/>
    </xf>
    <xf numFmtId="0" fontId="0" fillId="2" borderId="0" xfId="0" applyFill="1" applyAlignment="1">
      <alignment horizontal="center"/>
    </xf>
    <xf numFmtId="9" fontId="10" fillId="2" borderId="36" xfId="0" applyNumberFormat="1" applyFont="1" applyFill="1" applyBorder="1" applyAlignment="1">
      <alignment horizontal="center"/>
    </xf>
    <xf numFmtId="6" fontId="0" fillId="8" borderId="0" xfId="0" applyNumberFormat="1" applyFill="1" applyAlignment="1" applyProtection="1">
      <alignment horizontal="center"/>
      <protection locked="0"/>
    </xf>
    <xf numFmtId="0" fontId="3" fillId="3" borderId="0" xfId="0" applyFont="1" applyFill="1"/>
    <xf numFmtId="0" fontId="0" fillId="3" borderId="0" xfId="0" applyFill="1"/>
    <xf numFmtId="0" fontId="6" fillId="2" borderId="4" xfId="0" applyFont="1" applyFill="1" applyBorder="1" applyAlignment="1">
      <alignment horizontal="left"/>
    </xf>
    <xf numFmtId="0" fontId="6" fillId="2" borderId="9" xfId="0" applyFont="1" applyFill="1" applyBorder="1" applyAlignment="1">
      <alignment horizontal="left"/>
    </xf>
    <xf numFmtId="0" fontId="3" fillId="2" borderId="11" xfId="0" applyFont="1" applyFill="1" applyBorder="1" applyAlignment="1">
      <alignment horizontal="center"/>
    </xf>
    <xf numFmtId="0" fontId="6" fillId="2" borderId="40" xfId="0" applyFont="1" applyFill="1" applyBorder="1" applyAlignment="1">
      <alignment horizontal="center"/>
    </xf>
    <xf numFmtId="0" fontId="25" fillId="2" borderId="9" xfId="0" applyFont="1" applyFill="1" applyBorder="1"/>
    <xf numFmtId="0" fontId="6" fillId="2" borderId="10" xfId="0" applyFont="1" applyFill="1" applyBorder="1"/>
    <xf numFmtId="0" fontId="6" fillId="13" borderId="11" xfId="0" applyFont="1" applyFill="1" applyBorder="1" applyAlignment="1">
      <alignment horizontal="center"/>
    </xf>
    <xf numFmtId="0" fontId="0" fillId="2" borderId="0" xfId="0" applyFill="1" applyAlignment="1">
      <alignment horizontal="left" indent="2"/>
    </xf>
    <xf numFmtId="0" fontId="0" fillId="2" borderId="42" xfId="0" applyFill="1" applyBorder="1"/>
    <xf numFmtId="6" fontId="0" fillId="2" borderId="0" xfId="0" applyNumberFormat="1" applyFill="1"/>
    <xf numFmtId="0" fontId="29" fillId="2" borderId="0" xfId="0" applyFont="1" applyFill="1"/>
    <xf numFmtId="0" fontId="3" fillId="2" borderId="6" xfId="0" applyFont="1" applyFill="1" applyBorder="1" applyAlignment="1">
      <alignment horizontal="left" indent="1"/>
    </xf>
    <xf numFmtId="0" fontId="0" fillId="2" borderId="4" xfId="0" applyFill="1" applyBorder="1" applyAlignment="1">
      <alignment horizontal="left" indent="2"/>
    </xf>
    <xf numFmtId="0" fontId="0" fillId="2" borderId="9" xfId="0" applyFill="1" applyBorder="1" applyAlignment="1">
      <alignment horizontal="left" indent="2"/>
    </xf>
    <xf numFmtId="9" fontId="3" fillId="2" borderId="0" xfId="2" applyFont="1" applyFill="1" applyBorder="1" applyAlignment="1">
      <alignment horizontal="center"/>
    </xf>
    <xf numFmtId="0" fontId="0" fillId="2" borderId="0" xfId="0" applyFill="1" applyAlignment="1" applyProtection="1">
      <alignment horizontal="left"/>
      <protection locked="0"/>
    </xf>
    <xf numFmtId="0" fontId="0" fillId="2" borderId="0" xfId="0" applyFill="1" applyAlignment="1" applyProtection="1">
      <alignment horizontal="center"/>
      <protection locked="0"/>
    </xf>
    <xf numFmtId="0" fontId="22" fillId="2" borderId="0" xfId="0" applyFont="1" applyFill="1" applyAlignment="1">
      <alignment horizontal="right"/>
    </xf>
    <xf numFmtId="0" fontId="30" fillId="2" borderId="0" xfId="0" applyFont="1" applyFill="1" applyAlignment="1">
      <alignment vertical="top"/>
    </xf>
    <xf numFmtId="0" fontId="3" fillId="2" borderId="0" xfId="0" applyFont="1" applyFill="1" applyAlignment="1">
      <alignment vertical="top"/>
    </xf>
    <xf numFmtId="0" fontId="0" fillId="2" borderId="0" xfId="0" applyFill="1" applyAlignment="1">
      <alignment vertical="top"/>
    </xf>
    <xf numFmtId="0" fontId="0" fillId="2" borderId="0" xfId="0" applyFill="1" applyAlignment="1">
      <alignment horizontal="left" vertical="top" indent="2"/>
    </xf>
    <xf numFmtId="0" fontId="0" fillId="8" borderId="0" xfId="0" applyFill="1" applyAlignment="1" applyProtection="1">
      <alignment horizontal="center" vertical="top"/>
      <protection locked="0"/>
    </xf>
    <xf numFmtId="0" fontId="0" fillId="2" borderId="0" xfId="0" applyFill="1" applyAlignment="1">
      <alignment horizontal="left" vertical="top" wrapText="1" indent="2"/>
    </xf>
    <xf numFmtId="0" fontId="0" fillId="2" borderId="0" xfId="0" applyFill="1" applyAlignment="1">
      <alignment horizontal="center" vertical="top"/>
    </xf>
    <xf numFmtId="0" fontId="0" fillId="0" borderId="0" xfId="0" applyAlignment="1">
      <alignment vertical="top"/>
    </xf>
    <xf numFmtId="5" fontId="0" fillId="2" borderId="0" xfId="0" applyNumberFormat="1" applyFill="1" applyAlignment="1">
      <alignment horizontal="center" vertical="top"/>
    </xf>
    <xf numFmtId="0" fontId="0" fillId="2" borderId="0" xfId="0" applyFill="1" applyAlignment="1">
      <alignment horizontal="left" vertical="center"/>
    </xf>
    <xf numFmtId="0" fontId="2" fillId="0" borderId="0" xfId="0" applyFont="1"/>
    <xf numFmtId="5" fontId="0" fillId="8" borderId="0" xfId="0" applyNumberFormat="1" applyFill="1" applyAlignment="1" applyProtection="1">
      <alignment horizontal="center" vertical="top"/>
      <protection locked="0"/>
    </xf>
    <xf numFmtId="7" fontId="2" fillId="2" borderId="0" xfId="0" applyNumberFormat="1" applyFont="1" applyFill="1"/>
    <xf numFmtId="0" fontId="40" fillId="2" borderId="0" xfId="0" applyFont="1" applyFill="1"/>
    <xf numFmtId="2" fontId="10" fillId="2" borderId="0" xfId="0" applyNumberFormat="1" applyFont="1" applyFill="1" applyAlignment="1">
      <alignment horizontal="center"/>
    </xf>
    <xf numFmtId="2" fontId="8" fillId="2" borderId="0" xfId="0" applyNumberFormat="1" applyFont="1" applyFill="1" applyAlignment="1">
      <alignment horizontal="center"/>
    </xf>
    <xf numFmtId="0" fontId="7" fillId="2" borderId="0" xfId="0" applyFont="1" applyFill="1"/>
    <xf numFmtId="0" fontId="8" fillId="2" borderId="6" xfId="0" applyFont="1" applyFill="1" applyBorder="1"/>
    <xf numFmtId="5" fontId="8" fillId="2" borderId="7" xfId="0" applyNumberFormat="1" applyFont="1" applyFill="1" applyBorder="1" applyAlignment="1">
      <alignment horizontal="center"/>
    </xf>
    <xf numFmtId="0" fontId="10" fillId="2" borderId="7" xfId="0" applyFont="1" applyFill="1" applyBorder="1"/>
    <xf numFmtId="0" fontId="10" fillId="2" borderId="8" xfId="0" applyFont="1" applyFill="1" applyBorder="1"/>
    <xf numFmtId="9" fontId="10" fillId="2" borderId="0" xfId="0" applyNumberFormat="1" applyFont="1" applyFill="1"/>
    <xf numFmtId="5" fontId="10" fillId="2" borderId="0" xfId="0" applyNumberFormat="1" applyFont="1" applyFill="1"/>
    <xf numFmtId="0" fontId="10" fillId="2" borderId="5" xfId="0" applyFont="1" applyFill="1" applyBorder="1"/>
    <xf numFmtId="10" fontId="10" fillId="2" borderId="0" xfId="0" applyNumberFormat="1" applyFont="1" applyFill="1"/>
    <xf numFmtId="0" fontId="8" fillId="2" borderId="0" xfId="0" applyFont="1" applyFill="1"/>
    <xf numFmtId="7" fontId="8" fillId="2" borderId="0" xfId="0" applyNumberFormat="1" applyFont="1" applyFill="1"/>
    <xf numFmtId="0" fontId="5" fillId="9" borderId="27" xfId="0" applyFont="1" applyFill="1" applyBorder="1" applyAlignment="1">
      <alignment horizontal="center"/>
    </xf>
    <xf numFmtId="0" fontId="5" fillId="2" borderId="27" xfId="0" applyFont="1" applyFill="1" applyBorder="1" applyAlignment="1">
      <alignment horizontal="center"/>
    </xf>
    <xf numFmtId="0" fontId="10" fillId="2" borderId="29" xfId="0" applyFont="1" applyFill="1" applyBorder="1"/>
    <xf numFmtId="0" fontId="10" fillId="8" borderId="30" xfId="0" applyFont="1" applyFill="1" applyBorder="1" applyAlignment="1" applyProtection="1">
      <alignment horizontal="center"/>
      <protection locked="0"/>
    </xf>
    <xf numFmtId="0" fontId="10" fillId="2" borderId="31" xfId="0" applyFont="1" applyFill="1" applyBorder="1"/>
    <xf numFmtId="0" fontId="29" fillId="9" borderId="0" xfId="0" applyFont="1" applyFill="1" applyAlignment="1">
      <alignment horizontal="center" wrapText="1"/>
    </xf>
    <xf numFmtId="0" fontId="10" fillId="0" borderId="4" xfId="0" applyFont="1" applyBorder="1" applyAlignment="1">
      <alignment horizontal="center"/>
    </xf>
    <xf numFmtId="0" fontId="10" fillId="2" borderId="5" xfId="0" applyFont="1" applyFill="1" applyBorder="1" applyAlignment="1">
      <alignment horizontal="center"/>
    </xf>
    <xf numFmtId="5" fontId="28" fillId="9" borderId="0" xfId="0" applyNumberFormat="1" applyFont="1" applyFill="1" applyAlignment="1">
      <alignment horizontal="center"/>
    </xf>
    <xf numFmtId="0" fontId="10" fillId="2" borderId="4" xfId="0" applyFont="1" applyFill="1" applyBorder="1" applyAlignment="1">
      <alignment horizontal="center"/>
    </xf>
    <xf numFmtId="7" fontId="10" fillId="2" borderId="5" xfId="0" applyNumberFormat="1" applyFont="1" applyFill="1" applyBorder="1" applyAlignment="1">
      <alignment horizontal="center"/>
    </xf>
    <xf numFmtId="169" fontId="10" fillId="2" borderId="0" xfId="0" applyNumberFormat="1" applyFont="1" applyFill="1" applyAlignment="1">
      <alignment horizontal="center"/>
    </xf>
    <xf numFmtId="0" fontId="10" fillId="2" borderId="4" xfId="0" applyFont="1" applyFill="1" applyBorder="1" applyAlignment="1">
      <alignment horizontal="left"/>
    </xf>
    <xf numFmtId="0" fontId="10" fillId="2" borderId="9" xfId="0" applyFont="1" applyFill="1" applyBorder="1" applyAlignment="1">
      <alignment horizontal="center"/>
    </xf>
    <xf numFmtId="8" fontId="10" fillId="2" borderId="10" xfId="0" applyNumberFormat="1" applyFont="1" applyFill="1" applyBorder="1" applyAlignment="1">
      <alignment horizontal="center"/>
    </xf>
    <xf numFmtId="7" fontId="10" fillId="2" borderId="11" xfId="0" applyNumberFormat="1" applyFont="1" applyFill="1" applyBorder="1" applyAlignment="1">
      <alignment horizontal="center"/>
    </xf>
    <xf numFmtId="7" fontId="10" fillId="2" borderId="0" xfId="0" applyNumberFormat="1" applyFont="1" applyFill="1"/>
    <xf numFmtId="0" fontId="0" fillId="8" borderId="4" xfId="0" applyFill="1" applyBorder="1" applyAlignment="1" applyProtection="1">
      <alignment horizontal="left"/>
      <protection locked="0"/>
    </xf>
    <xf numFmtId="0" fontId="0" fillId="2" borderId="23" xfId="0" applyFill="1" applyBorder="1" applyAlignment="1">
      <alignment horizontal="left"/>
    </xf>
    <xf numFmtId="5" fontId="28" fillId="2" borderId="24" xfId="0" applyNumberFormat="1" applyFont="1" applyFill="1" applyBorder="1" applyAlignment="1">
      <alignment horizontal="center"/>
    </xf>
    <xf numFmtId="5" fontId="0" fillId="2" borderId="44" xfId="0" applyNumberFormat="1" applyFill="1" applyBorder="1" applyAlignment="1">
      <alignment horizontal="center"/>
    </xf>
    <xf numFmtId="5" fontId="0" fillId="2" borderId="45" xfId="0" applyNumberFormat="1" applyFill="1" applyBorder="1" applyAlignment="1">
      <alignment horizontal="center"/>
    </xf>
    <xf numFmtId="0" fontId="3" fillId="2" borderId="9" xfId="0" applyFont="1" applyFill="1" applyBorder="1" applyAlignment="1">
      <alignment horizontal="left"/>
    </xf>
    <xf numFmtId="0" fontId="3" fillId="2" borderId="10" xfId="0" applyFont="1" applyFill="1" applyBorder="1" applyAlignment="1">
      <alignment horizontal="left"/>
    </xf>
    <xf numFmtId="0" fontId="3" fillId="2" borderId="46" xfId="0" applyFont="1" applyFill="1" applyBorder="1" applyAlignment="1">
      <alignment horizontal="left"/>
    </xf>
    <xf numFmtId="167" fontId="8" fillId="0" borderId="11" xfId="0" applyNumberFormat="1" applyFont="1" applyBorder="1" applyAlignment="1">
      <alignment horizontal="center"/>
    </xf>
    <xf numFmtId="0" fontId="41" fillId="2" borderId="0" xfId="0" applyFont="1" applyFill="1"/>
    <xf numFmtId="0" fontId="3" fillId="4" borderId="47" xfId="0" applyFont="1" applyFill="1" applyBorder="1" applyAlignment="1">
      <alignment horizontal="center"/>
    </xf>
    <xf numFmtId="0" fontId="3" fillId="5" borderId="4" xfId="0" applyFont="1" applyFill="1" applyBorder="1"/>
    <xf numFmtId="14" fontId="0" fillId="8" borderId="0" xfId="0" applyNumberFormat="1" applyFill="1" applyAlignment="1" applyProtection="1">
      <alignment horizontal="center" vertical="center"/>
      <protection locked="0"/>
    </xf>
    <xf numFmtId="0" fontId="0" fillId="8" borderId="8" xfId="0" applyFill="1" applyBorder="1" applyAlignment="1" applyProtection="1">
      <alignment horizontal="center"/>
      <protection locked="0"/>
    </xf>
    <xf numFmtId="0" fontId="0" fillId="8" borderId="7" xfId="0" applyFill="1" applyBorder="1" applyAlignment="1" applyProtection="1">
      <alignment horizontal="center"/>
      <protection locked="0"/>
    </xf>
    <xf numFmtId="5" fontId="0" fillId="8" borderId="9" xfId="0" applyNumberFormat="1" applyFill="1" applyBorder="1" applyAlignment="1" applyProtection="1">
      <alignment horizontal="center"/>
      <protection locked="0"/>
    </xf>
    <xf numFmtId="9" fontId="10" fillId="8" borderId="10" xfId="2" applyFont="1" applyFill="1" applyBorder="1" applyAlignment="1" applyProtection="1">
      <alignment horizontal="center"/>
      <protection locked="0"/>
    </xf>
    <xf numFmtId="5" fontId="0" fillId="2" borderId="11" xfId="1" applyNumberFormat="1" applyFont="1" applyFill="1" applyBorder="1" applyAlignment="1" applyProtection="1">
      <alignment horizontal="center"/>
    </xf>
    <xf numFmtId="1" fontId="0" fillId="8" borderId="0" xfId="3" applyNumberFormat="1" applyFont="1" applyFill="1" applyAlignment="1" applyProtection="1">
      <alignment horizontal="center"/>
      <protection locked="0"/>
    </xf>
    <xf numFmtId="9" fontId="10" fillId="8" borderId="0" xfId="2" applyFont="1" applyFill="1" applyAlignment="1" applyProtection="1">
      <alignment horizontal="center"/>
      <protection locked="0"/>
    </xf>
    <xf numFmtId="5" fontId="0" fillId="2" borderId="43" xfId="0" applyNumberFormat="1" applyFill="1" applyBorder="1" applyAlignment="1">
      <alignment horizontal="center"/>
    </xf>
    <xf numFmtId="0" fontId="0" fillId="2" borderId="43" xfId="0" applyFill="1" applyBorder="1" applyAlignment="1">
      <alignment horizontal="center"/>
    </xf>
    <xf numFmtId="165" fontId="10" fillId="2" borderId="0" xfId="1" applyNumberFormat="1" applyFont="1" applyFill="1" applyBorder="1" applyProtection="1"/>
    <xf numFmtId="9" fontId="0" fillId="2" borderId="0" xfId="0" applyNumberFormat="1" applyFill="1" applyAlignment="1">
      <alignment horizontal="center" vertical="top"/>
    </xf>
    <xf numFmtId="0" fontId="38" fillId="2" borderId="0" xfId="0" applyFont="1" applyFill="1" applyAlignment="1">
      <alignment horizontal="left" vertical="top" wrapText="1" indent="2"/>
    </xf>
    <xf numFmtId="164" fontId="0" fillId="2" borderId="0" xfId="0" applyNumberFormat="1" applyFill="1" applyAlignment="1">
      <alignment horizontal="center" vertical="top"/>
    </xf>
    <xf numFmtId="168" fontId="10" fillId="2" borderId="0" xfId="0" applyNumberFormat="1" applyFont="1" applyFill="1" applyAlignment="1">
      <alignment horizontal="center"/>
    </xf>
    <xf numFmtId="8" fontId="10" fillId="2" borderId="0" xfId="0" applyNumberFormat="1" applyFont="1" applyFill="1" applyAlignment="1">
      <alignment horizontal="center"/>
    </xf>
    <xf numFmtId="10" fontId="10" fillId="8" borderId="0" xfId="0" applyNumberFormat="1" applyFont="1" applyFill="1" applyAlignment="1" applyProtection="1">
      <alignment horizontal="center"/>
      <protection locked="0"/>
    </xf>
    <xf numFmtId="0" fontId="3" fillId="4" borderId="6" xfId="0" applyFont="1" applyFill="1" applyBorder="1"/>
    <xf numFmtId="0" fontId="3" fillId="4" borderId="48" xfId="0" applyFont="1" applyFill="1" applyBorder="1" applyAlignment="1">
      <alignment horizontal="center"/>
    </xf>
    <xf numFmtId="5" fontId="3" fillId="5" borderId="0" xfId="0" applyNumberFormat="1" applyFont="1" applyFill="1" applyAlignment="1">
      <alignment horizontal="center"/>
    </xf>
    <xf numFmtId="5" fontId="3" fillId="2" borderId="49" xfId="0" applyNumberFormat="1" applyFont="1" applyFill="1" applyBorder="1" applyAlignment="1">
      <alignment horizontal="center"/>
    </xf>
    <xf numFmtId="9" fontId="10" fillId="2" borderId="0" xfId="0" applyNumberFormat="1" applyFont="1" applyFill="1" applyAlignment="1">
      <alignment horizontal="center"/>
    </xf>
    <xf numFmtId="6" fontId="0" fillId="2" borderId="0" xfId="0" applyNumberFormat="1" applyFill="1" applyAlignment="1">
      <alignment horizontal="center"/>
    </xf>
    <xf numFmtId="167" fontId="0" fillId="2" borderId="49" xfId="0" applyNumberFormat="1" applyFill="1" applyBorder="1" applyAlignment="1">
      <alignment horizontal="center"/>
    </xf>
    <xf numFmtId="5" fontId="10" fillId="2" borderId="49" xfId="2" applyNumberFormat="1" applyFont="1" applyFill="1" applyBorder="1" applyAlignment="1">
      <alignment horizontal="center"/>
    </xf>
    <xf numFmtId="5" fontId="0" fillId="2" borderId="49" xfId="0" applyNumberFormat="1" applyFill="1" applyBorder="1" applyAlignment="1">
      <alignment horizontal="center"/>
    </xf>
    <xf numFmtId="6" fontId="10" fillId="2" borderId="49" xfId="0" applyNumberFormat="1" applyFont="1" applyFill="1" applyBorder="1" applyAlignment="1">
      <alignment horizontal="center"/>
    </xf>
    <xf numFmtId="6" fontId="10" fillId="2" borderId="49" xfId="2" applyNumberFormat="1" applyFont="1" applyFill="1" applyBorder="1" applyAlignment="1">
      <alignment horizontal="center"/>
    </xf>
    <xf numFmtId="5" fontId="10" fillId="2" borderId="50" xfId="2" applyNumberFormat="1"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3" fillId="2" borderId="0" xfId="0" applyFont="1" applyFill="1" applyAlignment="1">
      <alignment horizontal="center" vertical="top"/>
    </xf>
    <xf numFmtId="0" fontId="2" fillId="2" borderId="4" xfId="0" applyFont="1" applyFill="1" applyBorder="1"/>
    <xf numFmtId="8" fontId="4" fillId="2" borderId="0" xfId="0" applyNumberFormat="1" applyFont="1" applyFill="1"/>
    <xf numFmtId="0" fontId="4" fillId="2" borderId="0" xfId="0" applyFont="1" applyFill="1" applyAlignment="1">
      <alignment horizontal="left"/>
    </xf>
    <xf numFmtId="0" fontId="0" fillId="2" borderId="56" xfId="0" applyFill="1" applyBorder="1"/>
    <xf numFmtId="164" fontId="8" fillId="2" borderId="57" xfId="5" applyNumberFormat="1" applyFont="1" applyFill="1" applyBorder="1" applyAlignment="1" applyProtection="1">
      <alignment horizontal="center"/>
    </xf>
    <xf numFmtId="0" fontId="0" fillId="2" borderId="57" xfId="0" applyFill="1" applyBorder="1"/>
    <xf numFmtId="0" fontId="0" fillId="8" borderId="0" xfId="0" applyFill="1" applyAlignment="1" applyProtection="1">
      <alignment horizontal="center"/>
      <protection locked="0"/>
    </xf>
    <xf numFmtId="5" fontId="8" fillId="2" borderId="0" xfId="1" applyNumberFormat="1" applyFont="1" applyFill="1" applyBorder="1" applyAlignment="1" applyProtection="1">
      <alignment horizontal="center"/>
    </xf>
    <xf numFmtId="9" fontId="0" fillId="8" borderId="10" xfId="0" applyNumberFormat="1" applyFill="1" applyBorder="1" applyAlignment="1" applyProtection="1">
      <alignment horizontal="center"/>
      <protection locked="0"/>
    </xf>
    <xf numFmtId="0" fontId="0" fillId="2" borderId="43" xfId="0" applyFill="1" applyBorder="1"/>
    <xf numFmtId="9" fontId="1" fillId="2" borderId="43" xfId="2" applyFont="1" applyFill="1" applyBorder="1" applyAlignment="1">
      <alignment horizontal="center"/>
    </xf>
    <xf numFmtId="9" fontId="0" fillId="2" borderId="43" xfId="0" applyNumberFormat="1" applyFill="1" applyBorder="1" applyAlignment="1">
      <alignment horizontal="center"/>
    </xf>
    <xf numFmtId="5" fontId="0" fillId="2" borderId="58" xfId="0" applyNumberFormat="1" applyFill="1" applyBorder="1" applyAlignment="1">
      <alignment horizontal="center"/>
    </xf>
    <xf numFmtId="0" fontId="0" fillId="8" borderId="4" xfId="0" applyFill="1" applyBorder="1"/>
    <xf numFmtId="0" fontId="0" fillId="8" borderId="9" xfId="0" applyFill="1" applyBorder="1"/>
    <xf numFmtId="0" fontId="0" fillId="8" borderId="10" xfId="0" applyFill="1" applyBorder="1"/>
    <xf numFmtId="0" fontId="0" fillId="8" borderId="11" xfId="0" applyFill="1" applyBorder="1"/>
    <xf numFmtId="5" fontId="8" fillId="2" borderId="10" xfId="1" applyNumberFormat="1" applyFont="1" applyFill="1" applyBorder="1" applyAlignment="1" applyProtection="1">
      <alignment horizontal="center"/>
    </xf>
    <xf numFmtId="164" fontId="0" fillId="2" borderId="0" xfId="5" applyNumberFormat="1" applyFont="1" applyFill="1" applyBorder="1" applyAlignment="1" applyProtection="1">
      <alignment horizontal="center"/>
    </xf>
    <xf numFmtId="0" fontId="10" fillId="8" borderId="0" xfId="0" applyFont="1" applyFill="1" applyAlignment="1" applyProtection="1">
      <alignment horizontal="center"/>
      <protection locked="0"/>
    </xf>
    <xf numFmtId="6" fontId="10" fillId="8" borderId="0" xfId="0" applyNumberFormat="1" applyFont="1" applyFill="1" applyAlignment="1" applyProtection="1">
      <alignment horizontal="center"/>
      <protection locked="0"/>
    </xf>
    <xf numFmtId="9" fontId="0" fillId="8" borderId="0" xfId="0" applyNumberFormat="1" applyFill="1" applyAlignment="1" applyProtection="1">
      <alignment horizontal="center"/>
      <protection locked="0"/>
    </xf>
    <xf numFmtId="0" fontId="6" fillId="8" borderId="0" xfId="0" applyFont="1" applyFill="1" applyAlignment="1" applyProtection="1">
      <alignment horizontal="left"/>
      <protection locked="0"/>
    </xf>
    <xf numFmtId="0" fontId="0" fillId="8" borderId="0" xfId="0" applyFill="1" applyProtection="1">
      <protection locked="0"/>
    </xf>
    <xf numFmtId="0" fontId="0" fillId="8" borderId="5" xfId="0" applyFill="1" applyBorder="1" applyProtection="1">
      <protection locked="0"/>
    </xf>
    <xf numFmtId="0" fontId="6" fillId="8" borderId="5" xfId="0" applyFont="1" applyFill="1" applyBorder="1" applyAlignment="1" applyProtection="1">
      <alignment horizontal="center"/>
      <protection locked="0"/>
    </xf>
    <xf numFmtId="0" fontId="0" fillId="8" borderId="9" xfId="0" applyFill="1" applyBorder="1" applyAlignment="1" applyProtection="1">
      <alignment horizontal="center"/>
      <protection locked="0"/>
    </xf>
    <xf numFmtId="164" fontId="10" fillId="8" borderId="0" xfId="2" applyNumberFormat="1" applyFont="1" applyFill="1" applyAlignment="1" applyProtection="1">
      <alignment horizontal="center"/>
      <protection locked="0"/>
    </xf>
    <xf numFmtId="164" fontId="0" fillId="8" borderId="6" xfId="2" applyNumberFormat="1" applyFont="1" applyFill="1" applyBorder="1" applyAlignment="1" applyProtection="1">
      <alignment horizontal="center"/>
      <protection locked="0"/>
    </xf>
    <xf numFmtId="0" fontId="0" fillId="8" borderId="10" xfId="0" applyFill="1" applyBorder="1" applyAlignment="1" applyProtection="1">
      <alignment horizontal="center"/>
      <protection locked="0"/>
    </xf>
    <xf numFmtId="0" fontId="0" fillId="8" borderId="11" xfId="0" applyFill="1" applyBorder="1" applyAlignment="1" applyProtection="1">
      <alignment horizontal="center"/>
      <protection locked="0"/>
    </xf>
    <xf numFmtId="9" fontId="0" fillId="8" borderId="0" xfId="2" applyFont="1" applyFill="1" applyBorder="1" applyAlignment="1" applyProtection="1">
      <alignment horizontal="center"/>
      <protection locked="0"/>
    </xf>
    <xf numFmtId="0" fontId="34" fillId="2" borderId="0" xfId="0" applyFont="1" applyFill="1" applyAlignment="1">
      <alignment vertical="center"/>
    </xf>
    <xf numFmtId="0" fontId="30" fillId="2" borderId="6" xfId="0" applyFont="1" applyFill="1" applyBorder="1"/>
    <xf numFmtId="0" fontId="3" fillId="2" borderId="7" xfId="0" applyFont="1" applyFill="1" applyBorder="1"/>
    <xf numFmtId="0" fontId="8" fillId="2" borderId="4" xfId="0" applyFont="1" applyFill="1" applyBorder="1" applyAlignment="1">
      <alignment horizontal="left" indent="1"/>
    </xf>
    <xf numFmtId="0" fontId="35" fillId="2" borderId="0" xfId="0" applyFont="1" applyFill="1"/>
    <xf numFmtId="0" fontId="36" fillId="2" borderId="4" xfId="0" applyFont="1" applyFill="1" applyBorder="1" applyAlignment="1">
      <alignment horizontal="left" indent="1"/>
    </xf>
    <xf numFmtId="0" fontId="10" fillId="2" borderId="4" xfId="0" applyFont="1" applyFill="1" applyBorder="1" applyAlignment="1">
      <alignment horizontal="left" indent="2"/>
    </xf>
    <xf numFmtId="0" fontId="10" fillId="2" borderId="9" xfId="0" applyFont="1" applyFill="1" applyBorder="1" applyAlignment="1">
      <alignment horizontal="left" indent="1"/>
    </xf>
    <xf numFmtId="0" fontId="35" fillId="2" borderId="10" xfId="0" applyFont="1" applyFill="1" applyBorder="1"/>
    <xf numFmtId="0" fontId="36" fillId="2" borderId="0" xfId="0" applyFont="1" applyFill="1" applyAlignment="1">
      <alignment horizontal="left"/>
    </xf>
    <xf numFmtId="0" fontId="35" fillId="2" borderId="0" xfId="0" applyFont="1" applyFill="1" applyAlignment="1">
      <alignment horizontal="left"/>
    </xf>
    <xf numFmtId="0" fontId="13" fillId="2" borderId="0" xfId="0" applyFont="1" applyFill="1" applyAlignment="1">
      <alignment horizontal="left"/>
    </xf>
    <xf numFmtId="0" fontId="3" fillId="5" borderId="1" xfId="0" applyFont="1" applyFill="1" applyBorder="1" applyAlignment="1">
      <alignment horizontal="left"/>
    </xf>
    <xf numFmtId="0" fontId="3" fillId="5" borderId="2" xfId="0" applyFont="1" applyFill="1" applyBorder="1" applyAlignment="1">
      <alignment horizontal="left"/>
    </xf>
    <xf numFmtId="0" fontId="3" fillId="5" borderId="3" xfId="0" applyFont="1" applyFill="1" applyBorder="1" applyAlignment="1">
      <alignment horizontal="left"/>
    </xf>
    <xf numFmtId="6" fontId="0" fillId="2" borderId="7" xfId="0" applyNumberFormat="1" applyFill="1" applyBorder="1" applyAlignment="1">
      <alignment horizontal="center"/>
    </xf>
    <xf numFmtId="0" fontId="0" fillId="0" borderId="8" xfId="0" applyBorder="1"/>
    <xf numFmtId="6" fontId="10" fillId="2" borderId="0" xfId="0" applyNumberFormat="1" applyFont="1" applyFill="1" applyAlignment="1">
      <alignment horizontal="center"/>
    </xf>
    <xf numFmtId="6" fontId="3" fillId="2" borderId="5" xfId="0" applyNumberFormat="1" applyFont="1" applyFill="1" applyBorder="1" applyAlignment="1">
      <alignment horizontal="center"/>
    </xf>
    <xf numFmtId="6" fontId="10" fillId="0" borderId="0" xfId="0" applyNumberFormat="1" applyFont="1" applyAlignment="1">
      <alignment horizontal="center"/>
    </xf>
    <xf numFmtId="0" fontId="3" fillId="2" borderId="6" xfId="0" applyFont="1" applyFill="1" applyBorder="1"/>
    <xf numFmtId="0" fontId="3" fillId="2" borderId="8" xfId="0" applyFont="1" applyFill="1" applyBorder="1"/>
    <xf numFmtId="9" fontId="0" fillId="2" borderId="0" xfId="0" applyNumberFormat="1" applyFill="1" applyAlignment="1">
      <alignment horizontal="center"/>
    </xf>
    <xf numFmtId="43" fontId="0" fillId="2" borderId="0" xfId="0" applyNumberFormat="1" applyFill="1"/>
    <xf numFmtId="165" fontId="23" fillId="2" borderId="0" xfId="1" applyNumberFormat="1" applyFont="1" applyFill="1" applyProtection="1"/>
    <xf numFmtId="165" fontId="3" fillId="2" borderId="0" xfId="1" applyNumberFormat="1" applyFont="1" applyFill="1" applyProtection="1"/>
    <xf numFmtId="165" fontId="0" fillId="2" borderId="0" xfId="1" applyNumberFormat="1" applyFont="1" applyFill="1" applyProtection="1"/>
    <xf numFmtId="165" fontId="0" fillId="2" borderId="0" xfId="0" applyNumberFormat="1" applyFill="1"/>
    <xf numFmtId="165" fontId="20" fillId="2" borderId="0" xfId="1" applyNumberFormat="1" applyFont="1" applyFill="1" applyProtection="1"/>
    <xf numFmtId="0" fontId="3" fillId="2" borderId="9" xfId="0" applyFont="1" applyFill="1" applyBorder="1"/>
    <xf numFmtId="5" fontId="0" fillId="2" borderId="10" xfId="0" applyNumberFormat="1" applyFill="1" applyBorder="1" applyAlignment="1">
      <alignment horizontal="center"/>
    </xf>
    <xf numFmtId="5" fontId="3" fillId="2" borderId="11" xfId="0" applyNumberFormat="1" applyFont="1" applyFill="1" applyBorder="1" applyAlignment="1">
      <alignment horizontal="center"/>
    </xf>
    <xf numFmtId="0" fontId="3" fillId="5" borderId="9" xfId="0" applyFont="1" applyFill="1" applyBorder="1"/>
    <xf numFmtId="9" fontId="8" fillId="5" borderId="41" xfId="2" applyFont="1" applyFill="1" applyBorder="1" applyAlignment="1" applyProtection="1">
      <alignment horizontal="center"/>
    </xf>
    <xf numFmtId="6" fontId="3" fillId="5" borderId="11" xfId="0" applyNumberFormat="1" applyFont="1" applyFill="1" applyBorder="1" applyAlignment="1">
      <alignment horizontal="center"/>
    </xf>
    <xf numFmtId="9" fontId="0" fillId="2" borderId="0" xfId="2" applyFont="1" applyFill="1" applyProtection="1"/>
    <xf numFmtId="0" fontId="10" fillId="0" borderId="0" xfId="0" applyFont="1" applyAlignment="1">
      <alignment horizontal="left" indent="2"/>
    </xf>
    <xf numFmtId="0" fontId="9" fillId="2" borderId="0" xfId="0" applyFont="1" applyFill="1" applyAlignment="1">
      <alignment horizontal="left"/>
    </xf>
    <xf numFmtId="6" fontId="0" fillId="2" borderId="10" xfId="0" applyNumberFormat="1" applyFill="1" applyBorder="1" applyAlignment="1">
      <alignment horizontal="center"/>
    </xf>
    <xf numFmtId="0" fontId="25" fillId="0" borderId="0" xfId="0" applyFont="1" applyAlignment="1">
      <alignment horizontal="left"/>
    </xf>
    <xf numFmtId="0" fontId="6" fillId="2" borderId="0" xfId="0" applyFont="1" applyFill="1" applyAlignment="1">
      <alignment horizontal="left"/>
    </xf>
    <xf numFmtId="0" fontId="22" fillId="2" borderId="0" xfId="0" applyFont="1" applyFill="1"/>
    <xf numFmtId="0" fontId="3" fillId="2" borderId="53" xfId="0" applyFont="1" applyFill="1" applyBorder="1"/>
    <xf numFmtId="0" fontId="3" fillId="2" borderId="54" xfId="0" applyFont="1" applyFill="1" applyBorder="1"/>
    <xf numFmtId="6" fontId="3" fillId="2" borderId="55" xfId="0" applyNumberFormat="1" applyFont="1" applyFill="1" applyBorder="1" applyAlignment="1">
      <alignment horizontal="center"/>
    </xf>
    <xf numFmtId="0" fontId="3" fillId="2" borderId="42" xfId="0" applyFont="1" applyFill="1" applyBorder="1"/>
    <xf numFmtId="6" fontId="3" fillId="2" borderId="43" xfId="0" applyNumberFormat="1" applyFont="1" applyFill="1" applyBorder="1" applyAlignment="1">
      <alignment horizontal="center"/>
    </xf>
    <xf numFmtId="0" fontId="3" fillId="2" borderId="56" xfId="0" applyFont="1" applyFill="1" applyBorder="1"/>
    <xf numFmtId="0" fontId="3" fillId="2" borderId="57" xfId="0" applyFont="1" applyFill="1" applyBorder="1"/>
    <xf numFmtId="6" fontId="3" fillId="2" borderId="58" xfId="0" applyNumberFormat="1" applyFont="1" applyFill="1" applyBorder="1" applyAlignment="1">
      <alignment horizontal="center"/>
    </xf>
    <xf numFmtId="0" fontId="37" fillId="2" borderId="0" xfId="0" applyFont="1" applyFill="1"/>
    <xf numFmtId="6" fontId="3" fillId="2" borderId="0" xfId="0" applyNumberFormat="1" applyFont="1" applyFill="1" applyAlignment="1">
      <alignment horizontal="center"/>
    </xf>
    <xf numFmtId="0" fontId="3" fillId="2" borderId="0" xfId="0" applyFont="1" applyFill="1" applyAlignment="1">
      <alignment horizontal="center" vertical="center"/>
    </xf>
    <xf numFmtId="0" fontId="3" fillId="2" borderId="6" xfId="0" applyFont="1" applyFill="1" applyBorder="1" applyAlignment="1">
      <alignment horizontal="left" vertical="center" indent="1"/>
    </xf>
    <xf numFmtId="0" fontId="3" fillId="2" borderId="7" xfId="0" applyFont="1" applyFill="1" applyBorder="1" applyAlignment="1">
      <alignment horizontal="center" vertical="center"/>
    </xf>
    <xf numFmtId="0" fontId="0" fillId="2" borderId="4" xfId="0" applyFill="1" applyBorder="1" applyAlignment="1">
      <alignment horizontal="left" vertical="top" indent="1"/>
    </xf>
    <xf numFmtId="0" fontId="3" fillId="2" borderId="0" xfId="0" applyFont="1" applyFill="1" applyAlignment="1">
      <alignment horizontal="center" vertical="top"/>
    </xf>
    <xf numFmtId="0" fontId="0" fillId="2" borderId="5" xfId="0" applyFill="1" applyBorder="1" applyAlignment="1">
      <alignment vertical="top"/>
    </xf>
    <xf numFmtId="0" fontId="3" fillId="2" borderId="9" xfId="0" applyFont="1" applyFill="1" applyBorder="1" applyAlignment="1">
      <alignment horizontal="left" vertical="top" indent="1"/>
    </xf>
    <xf numFmtId="0" fontId="3" fillId="2" borderId="10" xfId="0" applyFont="1" applyFill="1" applyBorder="1" applyAlignment="1">
      <alignment horizontal="center" vertical="top"/>
    </xf>
    <xf numFmtId="0" fontId="0" fillId="2" borderId="10" xfId="0" applyFill="1" applyBorder="1" applyAlignment="1">
      <alignment vertical="top"/>
    </xf>
    <xf numFmtId="0" fontId="0" fillId="2" borderId="11" xfId="0" applyFill="1" applyBorder="1" applyAlignment="1">
      <alignment vertical="top"/>
    </xf>
    <xf numFmtId="0" fontId="3" fillId="2" borderId="0" xfId="0" applyFont="1" applyFill="1" applyAlignment="1">
      <alignment horizontal="left" vertical="center"/>
    </xf>
    <xf numFmtId="0" fontId="30" fillId="2" borderId="0" xfId="0" applyFont="1" applyFill="1" applyAlignment="1">
      <alignment horizontal="left" vertical="center"/>
    </xf>
    <xf numFmtId="0" fontId="0" fillId="5" borderId="14" xfId="0" applyFill="1" applyBorder="1" applyAlignment="1">
      <alignment horizontal="center" wrapText="1"/>
    </xf>
    <xf numFmtId="0" fontId="0" fillId="5" borderId="4" xfId="0" applyFill="1" applyBorder="1" applyAlignment="1">
      <alignment horizontal="center"/>
    </xf>
    <xf numFmtId="0" fontId="0" fillId="5" borderId="5"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9" xfId="0" applyFill="1" applyBorder="1" applyAlignment="1">
      <alignment horizontal="center" wrapText="1"/>
    </xf>
    <xf numFmtId="0" fontId="0" fillId="5" borderId="10" xfId="0" applyFill="1" applyBorder="1" applyAlignment="1">
      <alignment horizontal="center" wrapText="1"/>
    </xf>
    <xf numFmtId="0" fontId="0" fillId="5" borderId="11" xfId="0" applyFill="1" applyBorder="1" applyAlignment="1">
      <alignment horizontal="center" wrapText="1"/>
    </xf>
    <xf numFmtId="0" fontId="0" fillId="5" borderId="0" xfId="0" applyFill="1" applyAlignment="1">
      <alignment horizontal="center"/>
    </xf>
    <xf numFmtId="5" fontId="46" fillId="2" borderId="0" xfId="0" applyNumberFormat="1" applyFont="1" applyFill="1" applyAlignment="1">
      <alignment horizontal="center"/>
    </xf>
    <xf numFmtId="0" fontId="0" fillId="2" borderId="6" xfId="0" applyFill="1" applyBorder="1" applyAlignment="1">
      <alignment horizontal="center"/>
    </xf>
    <xf numFmtId="0" fontId="0" fillId="2" borderId="8" xfId="0" applyFill="1" applyBorder="1" applyAlignment="1">
      <alignment horizontal="center"/>
    </xf>
    <xf numFmtId="5" fontId="0" fillId="2" borderId="7" xfId="0" applyNumberFormat="1" applyFill="1" applyBorder="1" applyAlignment="1">
      <alignment horizontal="center"/>
    </xf>
    <xf numFmtId="5" fontId="0" fillId="2" borderId="8" xfId="0" applyNumberFormat="1" applyFill="1" applyBorder="1" applyAlignment="1">
      <alignment horizontal="center"/>
    </xf>
    <xf numFmtId="0" fontId="0" fillId="2" borderId="4" xfId="0" applyFill="1" applyBorder="1" applyAlignment="1">
      <alignment horizontal="center"/>
    </xf>
    <xf numFmtId="164" fontId="0" fillId="2" borderId="4" xfId="2" applyNumberFormat="1" applyFont="1" applyFill="1" applyBorder="1" applyAlignment="1" applyProtection="1">
      <alignment horizontal="center"/>
    </xf>
    <xf numFmtId="0" fontId="0" fillId="2" borderId="9" xfId="0" applyFill="1" applyBorder="1" applyAlignment="1">
      <alignment horizontal="center"/>
    </xf>
    <xf numFmtId="0" fontId="0" fillId="2" borderId="11" xfId="0" applyFill="1" applyBorder="1" applyAlignment="1">
      <alignment horizontal="center"/>
    </xf>
    <xf numFmtId="5" fontId="0" fillId="2" borderId="11" xfId="0" applyNumberFormat="1" applyFill="1" applyBorder="1" applyAlignment="1">
      <alignment horizontal="center"/>
    </xf>
    <xf numFmtId="0" fontId="0" fillId="2" borderId="10" xfId="0" applyFill="1" applyBorder="1" applyAlignment="1">
      <alignment horizontal="center"/>
    </xf>
    <xf numFmtId="0" fontId="0" fillId="2" borderId="1" xfId="0" applyFill="1" applyBorder="1"/>
    <xf numFmtId="0" fontId="0" fillId="2" borderId="2" xfId="0" applyFill="1" applyBorder="1"/>
    <xf numFmtId="0" fontId="0" fillId="2" borderId="3" xfId="0" applyFill="1" applyBorder="1"/>
    <xf numFmtId="5" fontId="2" fillId="2" borderId="0" xfId="0" applyNumberFormat="1" applyFont="1" applyFill="1" applyAlignment="1">
      <alignment horizontal="center"/>
    </xf>
    <xf numFmtId="5" fontId="4" fillId="2" borderId="0" xfId="0" applyNumberFormat="1" applyFont="1" applyFill="1" applyAlignment="1">
      <alignment horizontal="center"/>
    </xf>
    <xf numFmtId="5" fontId="44" fillId="2" borderId="0" xfId="0" applyNumberFormat="1" applyFont="1" applyFill="1" applyAlignment="1">
      <alignment horizontal="center"/>
    </xf>
    <xf numFmtId="0" fontId="10" fillId="2" borderId="9" xfId="3" applyFont="1" applyFill="1" applyBorder="1" applyAlignment="1">
      <alignment horizontal="center"/>
    </xf>
    <xf numFmtId="1" fontId="10" fillId="2" borderId="10" xfId="3" applyNumberFormat="1" applyFont="1" applyFill="1" applyBorder="1" applyAlignment="1">
      <alignment horizontal="center"/>
    </xf>
    <xf numFmtId="5" fontId="0" fillId="2" borderId="10" xfId="1" applyNumberFormat="1" applyFont="1" applyFill="1" applyBorder="1" applyAlignment="1" applyProtection="1">
      <alignment horizontal="center"/>
    </xf>
    <xf numFmtId="0" fontId="8" fillId="5" borderId="1" xfId="3" applyFont="1" applyFill="1" applyBorder="1" applyAlignment="1">
      <alignment horizontal="left" indent="1"/>
    </xf>
    <xf numFmtId="0" fontId="8" fillId="5" borderId="2" xfId="3" applyFont="1" applyFill="1" applyBorder="1" applyAlignment="1">
      <alignment horizontal="center"/>
    </xf>
    <xf numFmtId="0" fontId="8" fillId="5" borderId="3" xfId="3" applyFont="1" applyFill="1" applyBorder="1" applyAlignment="1">
      <alignment horizontal="center"/>
    </xf>
    <xf numFmtId="0" fontId="8" fillId="2" borderId="0" xfId="3" applyFont="1" applyFill="1" applyAlignment="1">
      <alignment horizontal="center"/>
    </xf>
    <xf numFmtId="0" fontId="12" fillId="2" borderId="0" xfId="3" applyFont="1" applyFill="1" applyAlignment="1">
      <alignment horizontal="center"/>
    </xf>
    <xf numFmtId="0" fontId="13" fillId="2" borderId="4" xfId="3" applyFont="1" applyFill="1" applyBorder="1" applyAlignment="1">
      <alignment horizontal="left" indent="1"/>
    </xf>
    <xf numFmtId="0" fontId="8" fillId="2" borderId="5" xfId="3" applyFont="1" applyFill="1" applyBorder="1" applyAlignment="1">
      <alignment horizontal="center"/>
    </xf>
    <xf numFmtId="0" fontId="14" fillId="2" borderId="4" xfId="3" applyFont="1" applyFill="1" applyBorder="1" applyAlignment="1">
      <alignment horizontal="left" indent="1"/>
    </xf>
    <xf numFmtId="1" fontId="10" fillId="2" borderId="0" xfId="3" applyNumberFormat="1" applyFont="1" applyFill="1" applyAlignment="1">
      <alignment horizontal="center"/>
    </xf>
    <xf numFmtId="165" fontId="0" fillId="2" borderId="0" xfId="1" applyNumberFormat="1" applyFont="1" applyFill="1" applyBorder="1" applyAlignment="1" applyProtection="1">
      <alignment horizontal="center"/>
    </xf>
    <xf numFmtId="165" fontId="15" fillId="2" borderId="0" xfId="1" applyNumberFormat="1" applyFont="1" applyFill="1" applyBorder="1" applyProtection="1"/>
    <xf numFmtId="0" fontId="10" fillId="2" borderId="4" xfId="3" applyFont="1" applyFill="1" applyBorder="1" applyAlignment="1">
      <alignment horizontal="left" indent="7"/>
    </xf>
    <xf numFmtId="165" fontId="18" fillId="2" borderId="0" xfId="1" applyNumberFormat="1" applyFont="1" applyFill="1" applyBorder="1" applyProtection="1"/>
    <xf numFmtId="0" fontId="8" fillId="2" borderId="9" xfId="3" applyFont="1" applyFill="1" applyBorder="1" applyAlignment="1">
      <alignment horizontal="left" indent="7"/>
    </xf>
    <xf numFmtId="5" fontId="19" fillId="2" borderId="0" xfId="1" applyNumberFormat="1" applyFont="1" applyFill="1" applyBorder="1" applyProtection="1"/>
    <xf numFmtId="0" fontId="14" fillId="2" borderId="6" xfId="3" applyFont="1" applyFill="1" applyBorder="1" applyAlignment="1">
      <alignment horizontal="left" indent="1"/>
    </xf>
    <xf numFmtId="1" fontId="10" fillId="2" borderId="7" xfId="3" applyNumberFormat="1" applyFont="1" applyFill="1" applyBorder="1" applyAlignment="1">
      <alignment horizontal="center"/>
    </xf>
    <xf numFmtId="5" fontId="0" fillId="2" borderId="7" xfId="1" applyNumberFormat="1" applyFont="1" applyFill="1" applyBorder="1" applyAlignment="1" applyProtection="1">
      <alignment horizontal="center"/>
    </xf>
    <xf numFmtId="165" fontId="0" fillId="2" borderId="7" xfId="1" applyNumberFormat="1" applyFont="1" applyFill="1" applyBorder="1" applyAlignment="1" applyProtection="1">
      <alignment horizontal="center"/>
    </xf>
    <xf numFmtId="5" fontId="20" fillId="2" borderId="8" xfId="1" applyNumberFormat="1" applyFont="1" applyFill="1" applyBorder="1" applyAlignment="1" applyProtection="1">
      <alignment horizontal="center"/>
    </xf>
    <xf numFmtId="0" fontId="0" fillId="2" borderId="4" xfId="3" applyFont="1" applyFill="1" applyBorder="1" applyAlignment="1">
      <alignment horizontal="left" indent="6"/>
    </xf>
    <xf numFmtId="0" fontId="0" fillId="2" borderId="0" xfId="2" applyNumberFormat="1" applyFont="1" applyFill="1" applyBorder="1" applyAlignment="1" applyProtection="1">
      <alignment horizontal="center"/>
    </xf>
    <xf numFmtId="0" fontId="0" fillId="2" borderId="0" xfId="1" applyNumberFormat="1" applyFont="1" applyFill="1" applyBorder="1" applyAlignment="1" applyProtection="1">
      <alignment horizontal="center"/>
    </xf>
    <xf numFmtId="0" fontId="10" fillId="2" borderId="4" xfId="3" applyFont="1" applyFill="1" applyBorder="1" applyAlignment="1">
      <alignment horizontal="left" indent="6"/>
    </xf>
    <xf numFmtId="0" fontId="8" fillId="2" borderId="9" xfId="3" applyFont="1" applyFill="1" applyBorder="1" applyAlignment="1">
      <alignment horizontal="left" indent="6"/>
    </xf>
    <xf numFmtId="1" fontId="8" fillId="2" borderId="10" xfId="3" applyNumberFormat="1" applyFont="1" applyFill="1" applyBorder="1" applyAlignment="1">
      <alignment horizontal="center"/>
    </xf>
    <xf numFmtId="5" fontId="3" fillId="2" borderId="10" xfId="1" applyNumberFormat="1" applyFont="1" applyFill="1" applyBorder="1" applyAlignment="1" applyProtection="1">
      <alignment horizontal="center"/>
    </xf>
    <xf numFmtId="0" fontId="3" fillId="2" borderId="0" xfId="1" applyNumberFormat="1" applyFont="1" applyFill="1" applyBorder="1" applyProtection="1"/>
    <xf numFmtId="5" fontId="15" fillId="2" borderId="0" xfId="1" applyNumberFormat="1" applyFont="1" applyFill="1" applyBorder="1" applyProtection="1"/>
    <xf numFmtId="0" fontId="10" fillId="2" borderId="7" xfId="3" applyFont="1" applyFill="1" applyBorder="1" applyAlignment="1">
      <alignment horizontal="center"/>
    </xf>
    <xf numFmtId="5" fontId="10" fillId="2" borderId="7" xfId="3" applyNumberFormat="1" applyFont="1" applyFill="1" applyBorder="1" applyAlignment="1">
      <alignment horizontal="center"/>
    </xf>
    <xf numFmtId="0" fontId="0" fillId="2" borderId="7" xfId="0" applyFill="1" applyBorder="1" applyAlignment="1">
      <alignment horizontal="center"/>
    </xf>
    <xf numFmtId="0" fontId="0" fillId="0" borderId="8" xfId="0" applyBorder="1" applyAlignment="1">
      <alignment horizontal="center"/>
    </xf>
    <xf numFmtId="0" fontId="21" fillId="2" borderId="0" xfId="3" applyFont="1" applyFill="1"/>
    <xf numFmtId="0" fontId="10" fillId="2" borderId="10" xfId="3" applyFont="1" applyFill="1" applyBorder="1" applyAlignment="1">
      <alignment horizontal="center"/>
    </xf>
    <xf numFmtId="5" fontId="10" fillId="2" borderId="10" xfId="3" applyNumberFormat="1" applyFont="1" applyFill="1" applyBorder="1" applyAlignment="1">
      <alignment horizontal="center"/>
    </xf>
    <xf numFmtId="0" fontId="10" fillId="2" borderId="0" xfId="3" applyFont="1" applyFill="1" applyAlignment="1">
      <alignment horizontal="center"/>
    </xf>
    <xf numFmtId="5" fontId="10" fillId="2" borderId="0" xfId="3" applyNumberFormat="1" applyFont="1" applyFill="1" applyAlignment="1">
      <alignment horizontal="center"/>
    </xf>
    <xf numFmtId="0" fontId="0" fillId="0" borderId="5" xfId="0" applyBorder="1" applyAlignment="1">
      <alignment horizontal="center"/>
    </xf>
    <xf numFmtId="0" fontId="8" fillId="2" borderId="4" xfId="3" applyFont="1" applyFill="1" applyBorder="1" applyAlignment="1">
      <alignment horizontal="left" indent="6"/>
    </xf>
    <xf numFmtId="0" fontId="0" fillId="2" borderId="0" xfId="1" applyNumberFormat="1" applyFont="1" applyFill="1" applyBorder="1" applyProtection="1"/>
    <xf numFmtId="164" fontId="10" fillId="2" borderId="0" xfId="3" applyNumberFormat="1" applyFont="1" applyFill="1" applyAlignment="1">
      <alignment horizontal="center"/>
    </xf>
    <xf numFmtId="0" fontId="8" fillId="2" borderId="1" xfId="3" applyFont="1" applyFill="1" applyBorder="1" applyAlignment="1">
      <alignment horizontal="left" indent="1"/>
    </xf>
    <xf numFmtId="0" fontId="8" fillId="2" borderId="2" xfId="3" applyFont="1" applyFill="1" applyBorder="1" applyAlignment="1">
      <alignment horizontal="center"/>
    </xf>
    <xf numFmtId="0" fontId="10" fillId="2" borderId="2" xfId="3" applyFont="1" applyFill="1" applyBorder="1" applyAlignment="1">
      <alignment horizontal="center"/>
    </xf>
    <xf numFmtId="0" fontId="0" fillId="2" borderId="2" xfId="0" applyFill="1" applyBorder="1" applyAlignment="1">
      <alignment horizontal="center"/>
    </xf>
    <xf numFmtId="0" fontId="3" fillId="11" borderId="6" xfId="0" applyFont="1" applyFill="1" applyBorder="1"/>
    <xf numFmtId="0" fontId="3" fillId="11" borderId="7" xfId="0" applyFont="1" applyFill="1" applyBorder="1"/>
    <xf numFmtId="0" fontId="3" fillId="11" borderId="7" xfId="0" applyFont="1" applyFill="1" applyBorder="1" applyAlignment="1">
      <alignment horizontal="center"/>
    </xf>
    <xf numFmtId="165" fontId="12" fillId="11" borderId="8" xfId="1" applyNumberFormat="1" applyFont="1" applyFill="1" applyBorder="1" applyAlignment="1" applyProtection="1">
      <alignment horizontal="center"/>
    </xf>
    <xf numFmtId="5" fontId="0" fillId="9" borderId="5" xfId="0" applyNumberFormat="1" applyFill="1" applyBorder="1" applyAlignment="1">
      <alignment horizontal="center"/>
    </xf>
    <xf numFmtId="164" fontId="0" fillId="9" borderId="5" xfId="2" applyNumberFormat="1" applyFont="1" applyFill="1" applyBorder="1" applyAlignment="1" applyProtection="1">
      <alignment horizontal="center"/>
    </xf>
    <xf numFmtId="0" fontId="0" fillId="2" borderId="9" xfId="0" applyFill="1" applyBorder="1"/>
    <xf numFmtId="9" fontId="0" fillId="9" borderId="11" xfId="2" applyFont="1" applyFill="1" applyBorder="1" applyAlignment="1" applyProtection="1">
      <alignment horizontal="center"/>
    </xf>
    <xf numFmtId="0" fontId="8" fillId="2" borderId="0" xfId="3" applyFont="1" applyFill="1" applyAlignment="1">
      <alignment vertical="center"/>
    </xf>
    <xf numFmtId="0" fontId="10" fillId="2" borderId="0" xfId="3" applyFont="1" applyFill="1"/>
    <xf numFmtId="0" fontId="0" fillId="2" borderId="0" xfId="0" applyFill="1" applyAlignment="1">
      <alignment horizontal="center" vertical="center"/>
    </xf>
    <xf numFmtId="0" fontId="0" fillId="2" borderId="0" xfId="0" applyFill="1" applyAlignment="1">
      <alignment wrapText="1"/>
    </xf>
    <xf numFmtId="166" fontId="0" fillId="2" borderId="0" xfId="0" applyNumberFormat="1" applyFill="1" applyAlignment="1">
      <alignment horizontal="center"/>
    </xf>
    <xf numFmtId="0" fontId="2" fillId="2" borderId="0" xfId="3" applyFont="1" applyFill="1"/>
    <xf numFmtId="3" fontId="3" fillId="2" borderId="0" xfId="0" applyNumberFormat="1" applyFont="1" applyFill="1" applyAlignment="1">
      <alignment horizontal="center"/>
    </xf>
    <xf numFmtId="0" fontId="8" fillId="2" borderId="6" xfId="3" applyFont="1" applyFill="1" applyBorder="1" applyAlignment="1">
      <alignment horizontal="left" indent="1"/>
    </xf>
    <xf numFmtId="0" fontId="10" fillId="2" borderId="7" xfId="3" applyFont="1" applyFill="1" applyBorder="1"/>
    <xf numFmtId="0" fontId="2" fillId="2" borderId="7" xfId="3" applyFont="1" applyFill="1" applyBorder="1"/>
    <xf numFmtId="0" fontId="10" fillId="2" borderId="8" xfId="3" applyFont="1" applyFill="1" applyBorder="1"/>
    <xf numFmtId="0" fontId="10" fillId="2" borderId="4" xfId="3" applyFont="1" applyFill="1" applyBorder="1" applyAlignment="1">
      <alignment horizontal="left" indent="1"/>
    </xf>
    <xf numFmtId="0" fontId="10" fillId="2" borderId="5" xfId="3" applyFont="1" applyFill="1" applyBorder="1"/>
    <xf numFmtId="0" fontId="10" fillId="2" borderId="4" xfId="3" applyFont="1" applyFill="1" applyBorder="1" applyAlignment="1">
      <alignment horizontal="left" indent="4"/>
    </xf>
    <xf numFmtId="0" fontId="8" fillId="2" borderId="9" xfId="3" applyFont="1" applyFill="1" applyBorder="1" applyAlignment="1">
      <alignment horizontal="left" indent="1"/>
    </xf>
    <xf numFmtId="0" fontId="10" fillId="2" borderId="10" xfId="3" applyFont="1" applyFill="1" applyBorder="1"/>
    <xf numFmtId="0" fontId="2" fillId="2" borderId="10" xfId="3" applyFont="1" applyFill="1" applyBorder="1"/>
    <xf numFmtId="0" fontId="10" fillId="2" borderId="11" xfId="3" applyFont="1" applyFill="1" applyBorder="1"/>
    <xf numFmtId="0" fontId="35" fillId="2" borderId="0" xfId="3" applyFont="1" applyFill="1" applyAlignment="1">
      <alignment horizontal="center"/>
    </xf>
    <xf numFmtId="0" fontId="10" fillId="2" borderId="42" xfId="3" applyFont="1" applyFill="1" applyBorder="1"/>
    <xf numFmtId="0" fontId="10" fillId="2" borderId="43" xfId="3" applyFont="1" applyFill="1" applyBorder="1" applyAlignment="1">
      <alignment horizontal="center"/>
    </xf>
    <xf numFmtId="0" fontId="38" fillId="2" borderId="0" xfId="3" applyFont="1" applyFill="1"/>
    <xf numFmtId="1" fontId="0" fillId="2" borderId="0" xfId="0" applyNumberFormat="1" applyFill="1" applyAlignment="1">
      <alignment horizontal="center" vertical="center"/>
    </xf>
    <xf numFmtId="0" fontId="0" fillId="0" borderId="0" xfId="0" applyAlignment="1">
      <alignment horizontal="left" vertical="center"/>
    </xf>
    <xf numFmtId="0" fontId="0" fillId="5" borderId="6" xfId="0" applyFill="1" applyBorder="1"/>
    <xf numFmtId="0" fontId="0" fillId="5" borderId="7" xfId="0" applyFill="1" applyBorder="1" applyAlignment="1">
      <alignment horizontal="center"/>
    </xf>
    <xf numFmtId="0" fontId="0" fillId="5" borderId="8" xfId="0" applyFill="1" applyBorder="1" applyAlignment="1">
      <alignment horizontal="center"/>
    </xf>
    <xf numFmtId="0" fontId="4" fillId="2" borderId="0" xfId="3" applyFont="1" applyFill="1"/>
    <xf numFmtId="0" fontId="32" fillId="2" borderId="0" xfId="0" applyFont="1" applyFill="1"/>
    <xf numFmtId="0" fontId="32" fillId="2" borderId="0" xfId="0" applyFont="1" applyFill="1" applyAlignment="1">
      <alignment horizontal="center"/>
    </xf>
    <xf numFmtId="0" fontId="17" fillId="2" borderId="0" xfId="0" applyFont="1" applyFill="1"/>
    <xf numFmtId="0" fontId="3" fillId="5" borderId="4" xfId="0" applyFont="1" applyFill="1" applyBorder="1" applyAlignment="1">
      <alignment horizontal="center" vertical="top"/>
    </xf>
    <xf numFmtId="0" fontId="3" fillId="5" borderId="5" xfId="0" applyFont="1" applyFill="1" applyBorder="1" applyAlignment="1">
      <alignment horizontal="center" vertical="top"/>
    </xf>
    <xf numFmtId="0" fontId="3" fillId="5" borderId="0" xfId="0" applyFont="1" applyFill="1" applyAlignment="1">
      <alignment horizontal="center" vertical="top"/>
    </xf>
    <xf numFmtId="9" fontId="26" fillId="5" borderId="4" xfId="2" applyFont="1" applyFill="1" applyBorder="1" applyAlignment="1" applyProtection="1">
      <alignment horizontal="center"/>
    </xf>
    <xf numFmtId="9" fontId="26" fillId="5" borderId="0" xfId="2" applyFont="1" applyFill="1" applyBorder="1" applyAlignment="1" applyProtection="1">
      <alignment horizontal="center"/>
    </xf>
    <xf numFmtId="9" fontId="26" fillId="5" borderId="5" xfId="2" applyFont="1" applyFill="1" applyBorder="1" applyAlignment="1" applyProtection="1">
      <alignment horizontal="center"/>
    </xf>
    <xf numFmtId="5" fontId="0" fillId="2" borderId="6" xfId="0" applyNumberFormat="1" applyFill="1" applyBorder="1" applyAlignment="1">
      <alignment horizontal="center"/>
    </xf>
    <xf numFmtId="5" fontId="4" fillId="2" borderId="0" xfId="0" applyNumberFormat="1" applyFont="1" applyFill="1"/>
    <xf numFmtId="5" fontId="0" fillId="2" borderId="4" xfId="0" applyNumberFormat="1" applyFill="1" applyBorder="1" applyAlignment="1">
      <alignment horizontal="center"/>
    </xf>
    <xf numFmtId="0" fontId="10" fillId="2" borderId="0" xfId="3" applyFont="1" applyFill="1" applyAlignment="1">
      <alignment horizontal="left" indent="1"/>
    </xf>
    <xf numFmtId="5" fontId="0" fillId="2" borderId="9" xfId="0" applyNumberFormat="1" applyFill="1" applyBorder="1" applyAlignment="1">
      <alignment horizontal="center"/>
    </xf>
    <xf numFmtId="5" fontId="10" fillId="2" borderId="0" xfId="0" applyNumberFormat="1" applyFont="1" applyFill="1" applyAlignment="1">
      <alignment horizontal="center"/>
    </xf>
    <xf numFmtId="5" fontId="17" fillId="2" borderId="0" xfId="0" applyNumberFormat="1" applyFont="1" applyFill="1" applyAlignment="1">
      <alignment horizontal="center"/>
    </xf>
    <xf numFmtId="5" fontId="17" fillId="2" borderId="0" xfId="0" applyNumberFormat="1" applyFont="1" applyFill="1"/>
    <xf numFmtId="0" fontId="38" fillId="2" borderId="0" xfId="0" applyFont="1" applyFill="1"/>
    <xf numFmtId="0" fontId="8" fillId="2" borderId="0" xfId="3" applyFont="1" applyFill="1"/>
    <xf numFmtId="0" fontId="32" fillId="2" borderId="0" xfId="3" applyFont="1" applyFill="1"/>
    <xf numFmtId="0" fontId="0" fillId="5" borderId="6" xfId="0" applyFill="1" applyBorder="1" applyAlignment="1">
      <alignment horizontal="center"/>
    </xf>
    <xf numFmtId="9" fontId="0" fillId="2" borderId="4" xfId="2" applyFont="1" applyFill="1" applyBorder="1" applyAlignment="1" applyProtection="1">
      <alignment horizontal="center"/>
    </xf>
    <xf numFmtId="9" fontId="0" fillId="2" borderId="5" xfId="2" applyFont="1" applyFill="1" applyBorder="1" applyAlignment="1" applyProtection="1">
      <alignment horizontal="center"/>
    </xf>
    <xf numFmtId="0" fontId="0" fillId="5" borderId="12" xfId="0" applyFill="1" applyBorder="1" applyAlignment="1">
      <alignment horizontal="center"/>
    </xf>
    <xf numFmtId="5" fontId="0" fillId="2" borderId="13" xfId="0" applyNumberFormat="1" applyFill="1" applyBorder="1" applyAlignment="1">
      <alignment horizontal="center"/>
    </xf>
    <xf numFmtId="0" fontId="8" fillId="5" borderId="6" xfId="3" applyFont="1" applyFill="1" applyBorder="1" applyAlignment="1">
      <alignment horizontal="left"/>
    </xf>
    <xf numFmtId="0" fontId="8" fillId="5" borderId="7" xfId="3" applyFont="1" applyFill="1" applyBorder="1" applyAlignment="1">
      <alignment horizontal="center"/>
    </xf>
    <xf numFmtId="0" fontId="8" fillId="5" borderId="8" xfId="3" applyFont="1" applyFill="1" applyBorder="1" applyAlignment="1">
      <alignment horizontal="center"/>
    </xf>
    <xf numFmtId="0" fontId="10" fillId="2" borderId="5" xfId="3" applyFont="1" applyFill="1" applyBorder="1" applyAlignment="1">
      <alignment horizontal="center"/>
    </xf>
    <xf numFmtId="0" fontId="8" fillId="2" borderId="4" xfId="3" applyFont="1" applyFill="1" applyBorder="1" applyAlignment="1">
      <alignment horizontal="left"/>
    </xf>
    <xf numFmtId="0" fontId="10" fillId="2" borderId="9" xfId="3" applyFont="1" applyFill="1" applyBorder="1" applyAlignment="1">
      <alignment horizontal="left" indent="1"/>
    </xf>
    <xf numFmtId="0" fontId="10" fillId="2" borderId="11" xfId="3" applyFont="1" applyFill="1" applyBorder="1" applyAlignment="1">
      <alignment horizontal="center"/>
    </xf>
    <xf numFmtId="0" fontId="3" fillId="14" borderId="6" xfId="0" applyFont="1" applyFill="1" applyBorder="1" applyAlignment="1">
      <alignment horizontal="left"/>
    </xf>
    <xf numFmtId="0" fontId="3" fillId="14" borderId="7" xfId="0" applyFont="1" applyFill="1" applyBorder="1" applyAlignment="1">
      <alignment horizontal="center"/>
    </xf>
    <xf numFmtId="0" fontId="3" fillId="14" borderId="8" xfId="0" applyFont="1" applyFill="1" applyBorder="1" applyAlignment="1">
      <alignment horizontal="center"/>
    </xf>
    <xf numFmtId="0" fontId="43" fillId="2" borderId="6" xfId="0" applyFont="1" applyFill="1" applyBorder="1" applyAlignment="1">
      <alignment horizontal="left" vertical="center"/>
    </xf>
    <xf numFmtId="0" fontId="3" fillId="2" borderId="7" xfId="0" applyFont="1" applyFill="1" applyBorder="1" applyAlignment="1">
      <alignment horizontal="center"/>
    </xf>
    <xf numFmtId="0" fontId="0" fillId="11" borderId="4" xfId="0" applyFill="1" applyBorder="1" applyAlignment="1">
      <alignment horizontal="left" vertical="center"/>
    </xf>
    <xf numFmtId="0" fontId="3" fillId="11" borderId="0" xfId="0" applyFont="1" applyFill="1" applyAlignment="1">
      <alignment horizontal="center" vertical="center"/>
    </xf>
    <xf numFmtId="0" fontId="3" fillId="11" borderId="0" xfId="0" applyFont="1" applyFill="1" applyAlignment="1">
      <alignment horizontal="center"/>
    </xf>
    <xf numFmtId="0" fontId="3" fillId="11" borderId="5" xfId="0" applyFont="1" applyFill="1" applyBorder="1" applyAlignment="1">
      <alignment horizontal="center"/>
    </xf>
    <xf numFmtId="0" fontId="0" fillId="2" borderId="4" xfId="0" applyFill="1" applyBorder="1" applyAlignment="1">
      <alignment horizontal="left" indent="3"/>
    </xf>
    <xf numFmtId="167" fontId="0" fillId="2" borderId="0" xfId="0" applyNumberFormat="1" applyFill="1" applyAlignment="1">
      <alignment horizontal="center"/>
    </xf>
    <xf numFmtId="0" fontId="22" fillId="2" borderId="4" xfId="0" applyFont="1" applyFill="1" applyBorder="1"/>
    <xf numFmtId="0" fontId="0" fillId="5" borderId="4" xfId="0" applyFill="1" applyBorder="1" applyAlignment="1">
      <alignment horizontal="left"/>
    </xf>
    <xf numFmtId="0" fontId="0" fillId="5" borderId="0" xfId="0" applyFill="1" applyAlignment="1">
      <alignment horizontal="left"/>
    </xf>
    <xf numFmtId="5" fontId="0" fillId="5" borderId="0" xfId="0" applyNumberFormat="1" applyFill="1" applyAlignment="1">
      <alignment horizontal="center"/>
    </xf>
    <xf numFmtId="167" fontId="0" fillId="5" borderId="0" xfId="0" applyNumberFormat="1" applyFill="1" applyAlignment="1">
      <alignment horizontal="center"/>
    </xf>
    <xf numFmtId="167" fontId="0" fillId="5" borderId="5" xfId="0" applyNumberFormat="1" applyFill="1" applyBorder="1" applyAlignment="1">
      <alignment horizontal="center"/>
    </xf>
    <xf numFmtId="167" fontId="10" fillId="2" borderId="0" xfId="0" applyNumberFormat="1" applyFont="1" applyFill="1" applyAlignment="1">
      <alignment horizontal="center"/>
    </xf>
    <xf numFmtId="167" fontId="10" fillId="2" borderId="5" xfId="0" applyNumberFormat="1" applyFont="1" applyFill="1" applyBorder="1" applyAlignment="1">
      <alignment horizontal="center"/>
    </xf>
    <xf numFmtId="5" fontId="0" fillId="11" borderId="0" xfId="0" applyNumberFormat="1" applyFill="1" applyAlignment="1">
      <alignment horizontal="center"/>
    </xf>
    <xf numFmtId="167" fontId="0" fillId="11" borderId="0" xfId="0" applyNumberFormat="1" applyFill="1" applyAlignment="1">
      <alignment horizontal="center"/>
    </xf>
    <xf numFmtId="167" fontId="0" fillId="11" borderId="5" xfId="0" applyNumberFormat="1" applyFill="1" applyBorder="1" applyAlignment="1">
      <alignment horizontal="center"/>
    </xf>
    <xf numFmtId="0" fontId="8" fillId="2" borderId="9" xfId="0" applyFont="1" applyFill="1" applyBorder="1"/>
    <xf numFmtId="167" fontId="0" fillId="2" borderId="10" xfId="0" applyNumberFormat="1" applyFill="1" applyBorder="1" applyAlignment="1">
      <alignment horizontal="center"/>
    </xf>
    <xf numFmtId="167" fontId="0" fillId="2" borderId="11" xfId="0" applyNumberFormat="1" applyFill="1" applyBorder="1" applyAlignment="1">
      <alignment horizontal="center"/>
    </xf>
    <xf numFmtId="0" fontId="27" fillId="2" borderId="4" xfId="0" applyFont="1" applyFill="1" applyBorder="1" applyAlignment="1">
      <alignment horizontal="left" vertical="center"/>
    </xf>
    <xf numFmtId="0" fontId="3" fillId="2" borderId="4" xfId="0" applyFont="1" applyFill="1" applyBorder="1" applyAlignment="1">
      <alignment horizontal="left"/>
    </xf>
    <xf numFmtId="167" fontId="0" fillId="2" borderId="7" xfId="0" applyNumberFormat="1" applyFill="1" applyBorder="1" applyAlignment="1">
      <alignment horizontal="center"/>
    </xf>
    <xf numFmtId="167" fontId="0" fillId="2" borderId="8" xfId="0" applyNumberFormat="1" applyFill="1" applyBorder="1" applyAlignment="1">
      <alignment horizontal="center"/>
    </xf>
    <xf numFmtId="0" fontId="3" fillId="2" borderId="10" xfId="0" applyFont="1" applyFill="1" applyBorder="1"/>
    <xf numFmtId="0" fontId="47" fillId="2" borderId="4" xfId="0" applyFont="1" applyFill="1" applyBorder="1"/>
    <xf numFmtId="0" fontId="3" fillId="2" borderId="51" xfId="0" applyFont="1" applyFill="1" applyBorder="1"/>
    <xf numFmtId="0" fontId="3" fillId="2" borderId="52" xfId="0" applyFont="1" applyFill="1" applyBorder="1"/>
    <xf numFmtId="9" fontId="3" fillId="2" borderId="52" xfId="0" applyNumberFormat="1" applyFont="1" applyFill="1" applyBorder="1" applyAlignment="1">
      <alignment horizontal="center"/>
    </xf>
    <xf numFmtId="0" fontId="3" fillId="2" borderId="52" xfId="0" applyFont="1" applyFill="1" applyBorder="1" applyAlignment="1">
      <alignment horizontal="center"/>
    </xf>
    <xf numFmtId="167" fontId="3" fillId="2" borderId="52" xfId="0" applyNumberFormat="1" applyFont="1" applyFill="1" applyBorder="1" applyAlignment="1">
      <alignment horizontal="center"/>
    </xf>
    <xf numFmtId="0" fontId="27" fillId="2" borderId="0" xfId="0" applyFont="1" applyFill="1"/>
    <xf numFmtId="164" fontId="0" fillId="2" borderId="0" xfId="0" applyNumberFormat="1" applyFill="1" applyAlignment="1">
      <alignment horizontal="center"/>
    </xf>
    <xf numFmtId="3" fontId="0" fillId="2" borderId="0" xfId="0" applyNumberFormat="1" applyFill="1" applyAlignment="1">
      <alignment horizontal="center"/>
    </xf>
    <xf numFmtId="166" fontId="3" fillId="2" borderId="0" xfId="0" applyNumberFormat="1" applyFont="1" applyFill="1" applyAlignment="1">
      <alignment horizontal="center"/>
    </xf>
    <xf numFmtId="0" fontId="22" fillId="2" borderId="0" xfId="0" applyFont="1" applyFill="1" applyAlignment="1">
      <alignment horizontal="left" indent="1"/>
    </xf>
    <xf numFmtId="0" fontId="27" fillId="0" borderId="0" xfId="0" applyFont="1" applyAlignment="1">
      <alignment horizontal="center"/>
    </xf>
    <xf numFmtId="0" fontId="4" fillId="0" borderId="0" xfId="0" applyFont="1"/>
    <xf numFmtId="0" fontId="32" fillId="0" borderId="0" xfId="0" applyFont="1"/>
    <xf numFmtId="0" fontId="32" fillId="0" borderId="0" xfId="0" applyFont="1" applyAlignment="1">
      <alignment horizontal="center"/>
    </xf>
    <xf numFmtId="9" fontId="4" fillId="0" borderId="0" xfId="0" applyNumberFormat="1" applyFont="1"/>
    <xf numFmtId="0" fontId="49" fillId="0" borderId="0" xfId="0" applyFont="1"/>
    <xf numFmtId="0" fontId="49" fillId="0" borderId="0" xfId="0" applyFont="1" applyAlignment="1">
      <alignment horizontal="center"/>
    </xf>
    <xf numFmtId="9" fontId="4" fillId="0" borderId="0" xfId="0" applyNumberFormat="1" applyFont="1" applyAlignment="1">
      <alignment horizontal="center"/>
    </xf>
    <xf numFmtId="9" fontId="49" fillId="0" borderId="0" xfId="2" applyFont="1" applyFill="1" applyBorder="1" applyAlignment="1">
      <alignment horizontal="center"/>
    </xf>
    <xf numFmtId="9" fontId="50" fillId="0" borderId="0" xfId="0" applyNumberFormat="1" applyFont="1" applyAlignment="1">
      <alignment horizontal="center"/>
    </xf>
    <xf numFmtId="0" fontId="3" fillId="5" borderId="6" xfId="0" applyFont="1" applyFill="1" applyBorder="1" applyAlignment="1">
      <alignment horizontal="center"/>
    </xf>
    <xf numFmtId="0" fontId="3" fillId="5" borderId="7" xfId="0" applyFont="1" applyFill="1" applyBorder="1" applyAlignment="1">
      <alignment horizontal="center"/>
    </xf>
    <xf numFmtId="0" fontId="3" fillId="5" borderId="8" xfId="0" applyFont="1" applyFill="1" applyBorder="1" applyAlignment="1">
      <alignment horizontal="center"/>
    </xf>
    <xf numFmtId="0" fontId="33" fillId="3" borderId="0" xfId="0" applyFont="1" applyFill="1" applyAlignment="1">
      <alignment horizontal="center" vertical="top" wrapText="1"/>
    </xf>
    <xf numFmtId="0" fontId="33" fillId="3" borderId="0" xfId="0" applyFont="1" applyFill="1" applyAlignment="1">
      <alignment horizontal="center" vertical="top"/>
    </xf>
    <xf numFmtId="0" fontId="3" fillId="5" borderId="4" xfId="0" applyFont="1" applyFill="1" applyBorder="1" applyAlignment="1">
      <alignment horizontal="center"/>
    </xf>
    <xf numFmtId="0" fontId="3" fillId="5" borderId="0" xfId="0" applyFont="1" applyFill="1" applyAlignment="1">
      <alignment horizontal="center"/>
    </xf>
    <xf numFmtId="0" fontId="3" fillId="5" borderId="5" xfId="0" applyFont="1" applyFill="1" applyBorder="1" applyAlignment="1">
      <alignment horizontal="center"/>
    </xf>
    <xf numFmtId="0" fontId="0" fillId="8" borderId="10" xfId="0" applyFill="1" applyBorder="1" applyAlignment="1" applyProtection="1">
      <alignment horizontal="center"/>
      <protection locked="0"/>
    </xf>
    <xf numFmtId="0" fontId="0" fillId="8" borderId="11" xfId="0" applyFill="1" applyBorder="1" applyAlignment="1" applyProtection="1">
      <alignment horizontal="center"/>
      <protection locked="0"/>
    </xf>
    <xf numFmtId="0" fontId="0" fillId="8" borderId="0" xfId="0" applyFill="1" applyAlignment="1" applyProtection="1">
      <alignment horizontal="center"/>
      <protection locked="0"/>
    </xf>
    <xf numFmtId="9" fontId="0" fillId="8" borderId="0" xfId="0" applyNumberFormat="1" applyFill="1" applyAlignment="1" applyProtection="1">
      <alignment horizontal="center"/>
      <protection locked="0"/>
    </xf>
    <xf numFmtId="9" fontId="0" fillId="8" borderId="36" xfId="0" applyNumberFormat="1" applyFill="1" applyBorder="1" applyAlignment="1" applyProtection="1">
      <alignment horizontal="center"/>
      <protection locked="0"/>
    </xf>
    <xf numFmtId="6" fontId="0" fillId="8" borderId="0" xfId="0" applyNumberFormat="1" applyFill="1" applyAlignment="1" applyProtection="1">
      <alignment horizontal="center"/>
      <protection locked="0"/>
    </xf>
    <xf numFmtId="6" fontId="0" fillId="8" borderId="36" xfId="0" applyNumberFormat="1" applyFill="1" applyBorder="1" applyAlignment="1" applyProtection="1">
      <alignment horizontal="center"/>
      <protection locked="0"/>
    </xf>
    <xf numFmtId="0" fontId="0" fillId="2" borderId="0" xfId="0" applyFill="1" applyAlignment="1">
      <alignment horizontal="center" vertical="top"/>
    </xf>
    <xf numFmtId="9" fontId="0" fillId="2" borderId="0" xfId="0" applyNumberFormat="1" applyFill="1" applyAlignment="1">
      <alignment horizontal="center" vertical="top"/>
    </xf>
    <xf numFmtId="0" fontId="3" fillId="2" borderId="7" xfId="0" applyFont="1" applyFill="1" applyBorder="1" applyAlignment="1">
      <alignment horizontal="center"/>
    </xf>
    <xf numFmtId="0" fontId="0" fillId="2" borderId="0" xfId="0" applyFill="1" applyAlignment="1">
      <alignment horizontal="center"/>
    </xf>
    <xf numFmtId="9" fontId="10" fillId="2" borderId="0" xfId="0" applyNumberFormat="1" applyFont="1" applyFill="1" applyAlignment="1">
      <alignment horizontal="center"/>
    </xf>
    <xf numFmtId="9" fontId="10" fillId="2" borderId="36" xfId="0" applyNumberFormat="1" applyFont="1" applyFill="1" applyBorder="1" applyAlignment="1">
      <alignment horizontal="center"/>
    </xf>
    <xf numFmtId="0" fontId="3" fillId="2" borderId="0" xfId="0" applyFont="1" applyFill="1" applyAlignment="1">
      <alignment horizontal="center"/>
    </xf>
    <xf numFmtId="5" fontId="10" fillId="2" borderId="30" xfId="0" applyNumberFormat="1" applyFont="1" applyFill="1" applyBorder="1" applyAlignment="1">
      <alignment horizontal="center"/>
    </xf>
    <xf numFmtId="5" fontId="10" fillId="2" borderId="37" xfId="0" applyNumberFormat="1" applyFont="1" applyFill="1" applyBorder="1" applyAlignment="1">
      <alignment horizontal="center"/>
    </xf>
    <xf numFmtId="0" fontId="0" fillId="5" borderId="27" xfId="0" applyFill="1" applyBorder="1" applyAlignment="1">
      <alignment horizontal="center"/>
    </xf>
    <xf numFmtId="0" fontId="0" fillId="5" borderId="34" xfId="0" applyFill="1" applyBorder="1" applyAlignment="1">
      <alignment horizontal="center"/>
    </xf>
    <xf numFmtId="164" fontId="0" fillId="8" borderId="0" xfId="0" applyNumberFormat="1" applyFill="1" applyAlignment="1" applyProtection="1">
      <alignment horizontal="center" vertical="top"/>
      <protection locked="0"/>
    </xf>
    <xf numFmtId="0" fontId="0" fillId="5" borderId="0" xfId="0" applyFill="1" applyAlignment="1">
      <alignment horizontal="center"/>
    </xf>
    <xf numFmtId="0" fontId="0" fillId="5" borderId="36" xfId="0" applyFill="1" applyBorder="1" applyAlignment="1">
      <alignment horizontal="center"/>
    </xf>
    <xf numFmtId="9" fontId="0" fillId="5" borderId="27" xfId="0" applyNumberFormat="1" applyFill="1" applyBorder="1" applyAlignment="1">
      <alignment horizontal="center"/>
    </xf>
    <xf numFmtId="9" fontId="0" fillId="5" borderId="34" xfId="0" applyNumberFormat="1" applyFill="1" applyBorder="1" applyAlignment="1">
      <alignment horizontal="center"/>
    </xf>
    <xf numFmtId="9" fontId="0" fillId="8" borderId="0" xfId="2" applyFont="1" applyFill="1" applyBorder="1" applyAlignment="1" applyProtection="1">
      <alignment horizontal="center"/>
      <protection locked="0"/>
    </xf>
    <xf numFmtId="0" fontId="34" fillId="7" borderId="0" xfId="0" applyFont="1" applyFill="1" applyAlignment="1">
      <alignment horizontal="center" vertical="center"/>
    </xf>
    <xf numFmtId="0" fontId="0" fillId="8" borderId="0" xfId="0" applyFill="1" applyAlignment="1" applyProtection="1">
      <alignment horizontal="left"/>
      <protection locked="0"/>
    </xf>
    <xf numFmtId="5" fontId="0" fillId="8" borderId="0" xfId="0" applyNumberFormat="1" applyFill="1" applyAlignment="1" applyProtection="1">
      <alignment horizontal="left"/>
      <protection locked="0"/>
    </xf>
    <xf numFmtId="0" fontId="39" fillId="5" borderId="53" xfId="0" applyFont="1" applyFill="1" applyBorder="1" applyAlignment="1">
      <alignment horizontal="center"/>
    </xf>
    <xf numFmtId="0" fontId="39" fillId="5" borderId="54" xfId="0" applyFont="1" applyFill="1" applyBorder="1" applyAlignment="1">
      <alignment horizontal="center"/>
    </xf>
    <xf numFmtId="0" fontId="39" fillId="5" borderId="55" xfId="0" applyFont="1" applyFill="1" applyBorder="1" applyAlignment="1">
      <alignment horizontal="center"/>
    </xf>
    <xf numFmtId="0" fontId="0" fillId="2" borderId="0" xfId="0" applyFill="1" applyAlignment="1" applyProtection="1">
      <alignment horizontal="center"/>
      <protection locked="0"/>
    </xf>
    <xf numFmtId="0" fontId="34" fillId="3" borderId="0" xfId="0" applyFont="1" applyFill="1" applyAlignment="1">
      <alignment horizontal="center" vertical="center"/>
    </xf>
    <xf numFmtId="0" fontId="45" fillId="3" borderId="1" xfId="0" applyFont="1" applyFill="1" applyBorder="1" applyAlignment="1">
      <alignment horizontal="center"/>
    </xf>
    <xf numFmtId="0" fontId="45" fillId="3" borderId="2" xfId="0" applyFont="1" applyFill="1" applyBorder="1" applyAlignment="1">
      <alignment horizontal="center"/>
    </xf>
    <xf numFmtId="0" fontId="45" fillId="3" borderId="3" xfId="0" applyFont="1" applyFill="1" applyBorder="1" applyAlignment="1">
      <alignment horizont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8" borderId="6"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8" xfId="0" applyFont="1" applyFill="1" applyBorder="1" applyAlignment="1" applyProtection="1">
      <alignment horizontal="center" vertical="center"/>
      <protection locked="0"/>
    </xf>
    <xf numFmtId="0" fontId="3" fillId="8" borderId="9" xfId="0" applyFont="1" applyFill="1" applyBorder="1" applyAlignment="1" applyProtection="1">
      <alignment horizontal="center" vertical="center"/>
      <protection locked="0"/>
    </xf>
    <xf numFmtId="0" fontId="3" fillId="8" borderId="10" xfId="0" applyFont="1" applyFill="1" applyBorder="1" applyAlignment="1" applyProtection="1">
      <alignment horizontal="center" vertical="center"/>
      <protection locked="0"/>
    </xf>
    <xf numFmtId="0" fontId="3" fillId="8" borderId="11" xfId="0" applyFont="1" applyFill="1" applyBorder="1" applyAlignment="1" applyProtection="1">
      <alignment horizontal="center" vertical="center"/>
      <protection locked="0"/>
    </xf>
    <xf numFmtId="0" fontId="0" fillId="2" borderId="4" xfId="0" applyFill="1" applyBorder="1" applyAlignment="1">
      <alignment horizontal="left" indent="3"/>
    </xf>
    <xf numFmtId="0" fontId="0" fillId="2" borderId="0" xfId="0" applyFill="1" applyAlignment="1">
      <alignment horizontal="left" indent="3"/>
    </xf>
    <xf numFmtId="0" fontId="8" fillId="4" borderId="0" xfId="3" applyFont="1" applyFill="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3" fillId="5" borderId="6" xfId="0" applyFont="1" applyFill="1" applyBorder="1" applyAlignment="1">
      <alignment horizontal="center" vertical="top"/>
    </xf>
    <xf numFmtId="0" fontId="3" fillId="5" borderId="8" xfId="0" applyFont="1" applyFill="1" applyBorder="1" applyAlignment="1">
      <alignment horizontal="center" vertical="top"/>
    </xf>
    <xf numFmtId="0" fontId="3" fillId="5" borderId="7" xfId="0" applyFont="1" applyFill="1" applyBorder="1" applyAlignment="1">
      <alignment horizontal="center" vertical="top"/>
    </xf>
    <xf numFmtId="0" fontId="24" fillId="11" borderId="6" xfId="4" applyFont="1" applyFill="1" applyBorder="1" applyAlignment="1">
      <alignment horizontal="center" vertical="center"/>
    </xf>
    <xf numFmtId="0" fontId="24" fillId="11" borderId="7" xfId="4" applyFont="1" applyFill="1" applyBorder="1" applyAlignment="1">
      <alignment horizontal="center" vertical="center"/>
    </xf>
    <xf numFmtId="0" fontId="24" fillId="11" borderId="8" xfId="4" applyFont="1" applyFill="1" applyBorder="1" applyAlignment="1">
      <alignment horizontal="center" vertical="center"/>
    </xf>
    <xf numFmtId="0" fontId="24" fillId="11" borderId="9" xfId="4" applyFont="1" applyFill="1" applyBorder="1" applyAlignment="1">
      <alignment horizontal="center" vertical="center"/>
    </xf>
    <xf numFmtId="0" fontId="24" fillId="11" borderId="10" xfId="4" applyFont="1" applyFill="1" applyBorder="1" applyAlignment="1">
      <alignment horizontal="center" vertical="center"/>
    </xf>
    <xf numFmtId="0" fontId="24" fillId="11" borderId="11" xfId="4" applyFont="1" applyFill="1" applyBorder="1" applyAlignment="1">
      <alignment horizontal="center" vertical="center"/>
    </xf>
    <xf numFmtId="0" fontId="24" fillId="11" borderId="4" xfId="4" applyFont="1" applyFill="1" applyBorder="1" applyAlignment="1">
      <alignment horizontal="center" vertical="center"/>
    </xf>
    <xf numFmtId="0" fontId="24" fillId="11" borderId="0" xfId="4" applyFont="1" applyFill="1" applyAlignment="1">
      <alignment horizontal="center" vertical="center"/>
    </xf>
    <xf numFmtId="0" fontId="38" fillId="2" borderId="0" xfId="3" applyFont="1" applyFill="1" applyAlignment="1">
      <alignment horizontal="center"/>
    </xf>
    <xf numFmtId="0" fontId="42" fillId="7" borderId="0" xfId="3" applyFont="1" applyFill="1" applyAlignment="1">
      <alignment horizontal="center" vertical="center"/>
    </xf>
    <xf numFmtId="0" fontId="35" fillId="2" borderId="0" xfId="3" applyFont="1" applyFill="1" applyAlignment="1">
      <alignment horizontal="center"/>
    </xf>
    <xf numFmtId="0" fontId="3" fillId="5" borderId="53" xfId="0" applyFont="1" applyFill="1" applyBorder="1" applyAlignment="1">
      <alignment horizontal="center"/>
    </xf>
    <xf numFmtId="0" fontId="3" fillId="5" borderId="54" xfId="0" applyFont="1" applyFill="1" applyBorder="1" applyAlignment="1">
      <alignment horizontal="center"/>
    </xf>
    <xf numFmtId="0" fontId="3" fillId="5" borderId="55" xfId="0" applyFont="1" applyFill="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cellXfs>
  <cellStyles count="6">
    <cellStyle name="Comma" xfId="1" builtinId="3"/>
    <cellStyle name="Normal" xfId="0" builtinId="0"/>
    <cellStyle name="Normal 10" xfId="3" xr:uid="{DB773612-956E-4D55-B9BA-55D18309D32E}"/>
    <cellStyle name="Normal 2 5" xfId="4" xr:uid="{F0A18271-82FC-429E-AD03-A628B55B4AC5}"/>
    <cellStyle name="Percent" xfId="2" builtinId="5"/>
    <cellStyle name="Percent 2 2" xfId="5" xr:uid="{0D1931E9-3D14-4CFF-A045-FAB371D74253}"/>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r>
              <a:rPr lang="en-NZ"/>
              <a:t>Sale Price, Whānau Mortgage, Whānau Equity over 15</a:t>
            </a:r>
            <a:r>
              <a:rPr lang="en-NZ" baseline="0"/>
              <a:t> Years</a:t>
            </a:r>
            <a:r>
              <a:rPr lang="en-NZ"/>
              <a:t> </a:t>
            </a:r>
          </a:p>
        </c:rich>
      </c:tx>
      <c:overlay val="0"/>
      <c:spPr>
        <a:solidFill>
          <a:srgbClr val="FFE48F"/>
        </a:solidFill>
        <a:ln>
          <a:noFill/>
        </a:ln>
        <a:effectLst/>
      </c:spPr>
      <c:txPr>
        <a:bodyPr rot="0" spcFirstLastPara="1" vertOverflow="ellipsis" vert="horz" wrap="square" anchor="ctr" anchorCtr="1"/>
        <a:lstStyle/>
        <a:p>
          <a:pPr>
            <a:defRPr sz="1600" b="1" i="0" u="none" strike="noStrike" kern="1200" baseline="0">
              <a:solidFill>
                <a:schemeClr val="dk1"/>
              </a:solidFill>
              <a:latin typeface="+mn-lt"/>
              <a:ea typeface="+mn-ea"/>
              <a:cs typeface="+mn-cs"/>
            </a:defRPr>
          </a:pPr>
          <a:endParaRPr lang="en-US"/>
        </a:p>
      </c:txPr>
    </c:title>
    <c:autoTitleDeleted val="0"/>
    <c:plotArea>
      <c:layout/>
      <c:barChart>
        <c:barDir val="col"/>
        <c:grouping val="clustered"/>
        <c:varyColors val="0"/>
        <c:ser>
          <c:idx val="0"/>
          <c:order val="0"/>
          <c:tx>
            <c:v>Sale Price </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val>
            <c:numLit>
              <c:formatCode>"$"#,##0_);\("$"#,##0\)</c:formatCode>
              <c:ptCount val="15"/>
              <c:pt idx="0">
                <c:v>306000</c:v>
              </c:pt>
              <c:pt idx="1">
                <c:v>312120</c:v>
              </c:pt>
              <c:pt idx="2">
                <c:v>318362.40000000002</c:v>
              </c:pt>
              <c:pt idx="3">
                <c:v>324729.64800000004</c:v>
              </c:pt>
              <c:pt idx="4">
                <c:v>331224.24096000002</c:v>
              </c:pt>
              <c:pt idx="5">
                <c:v>337848.72577920003</c:v>
              </c:pt>
              <c:pt idx="6">
                <c:v>344605.70029478404</c:v>
              </c:pt>
              <c:pt idx="7">
                <c:v>351497.81430067972</c:v>
              </c:pt>
              <c:pt idx="8">
                <c:v>358527.77058669331</c:v>
              </c:pt>
              <c:pt idx="9">
                <c:v>365698.32599842717</c:v>
              </c:pt>
              <c:pt idx="10">
                <c:v>373012.2925183957</c:v>
              </c:pt>
              <c:pt idx="11">
                <c:v>380472.53836876363</c:v>
              </c:pt>
              <c:pt idx="12">
                <c:v>388081.98913613893</c:v>
              </c:pt>
              <c:pt idx="13">
                <c:v>395843.62891886174</c:v>
              </c:pt>
              <c:pt idx="14">
                <c:v>403760.50149723899</c:v>
              </c:pt>
            </c:numLit>
          </c:val>
          <c:extLst>
            <c:ext xmlns:c16="http://schemas.microsoft.com/office/drawing/2014/chart" uri="{C3380CC4-5D6E-409C-BE32-E72D297353CC}">
              <c16:uniqueId val="{00000000-3CCE-47E3-A4E8-E1A7F93C1605}"/>
            </c:ext>
          </c:extLst>
        </c:ser>
        <c:ser>
          <c:idx val="1"/>
          <c:order val="1"/>
          <c:tx>
            <c:v>Household/Whānau Mortgage</c:v>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val>
            <c:numLit>
              <c:formatCode>"$"#,##0_);[Red]\("$"#,##0\)</c:formatCode>
              <c:ptCount val="15"/>
              <c:pt idx="0" formatCode="&quot;$&quot;#,##0_);\(&quot;$&quot;#,##0\)">
                <c:v>256853.26240421296</c:v>
              </c:pt>
              <c:pt idx="1">
                <c:v>253509.85370868922</c:v>
              </c:pt>
              <c:pt idx="2" formatCode="&quot;$&quot;#,##0_);\(&quot;$&quot;#,##0\)">
                <c:v>249957.48196969525</c:v>
              </c:pt>
              <c:pt idx="3" formatCode="&quot;$&quot;#,##0_);\(&quot;$&quot;#,##0\)">
                <c:v>246183.08699701415</c:v>
              </c:pt>
              <c:pt idx="4" formatCode="&quot;$&quot;#,##0_);\(&quot;$&quot;#,##0\)">
                <c:v>242172.79233854049</c:v>
              </c:pt>
              <c:pt idx="5" formatCode="&quot;$&quot;#,##0_);\(&quot;$&quot;#,##0\)">
                <c:v>237911.85426391222</c:v>
              </c:pt>
              <c:pt idx="6" formatCode="&quot;$&quot;#,##0_);\(&quot;$&quot;#,##0\)">
                <c:v>233384.60755961968</c:v>
              </c:pt>
              <c:pt idx="7" formatCode="&quot;$&quot;#,##0_);\(&quot;$&quot;#,##0\)">
                <c:v>228574.40793630885</c:v>
              </c:pt>
              <c:pt idx="8" formatCode="&quot;$&quot;#,##0_);\(&quot;$&quot;#,##0\)">
                <c:v>223463.5708365411</c:v>
              </c:pt>
              <c:pt idx="9" formatCode="&quot;$&quot;#,##0_);\(&quot;$&quot;#,##0\)">
                <c:v>218033.30641803786</c:v>
              </c:pt>
              <c:pt idx="10" formatCode="&quot;$&quot;#,##0_);\(&quot;$&quot;#,##0\)">
                <c:v>212263.65047337816</c:v>
              </c:pt>
              <c:pt idx="11" formatCode="&quot;$&quot;#,##0_);\(&quot;$&quot;#,##0\)">
                <c:v>206133.39103217726</c:v>
              </c:pt>
              <c:pt idx="12" formatCode="&quot;$&quot;#,##0_);\(&quot;$&quot;#,##0\)">
                <c:v>199619.99037590128</c:v>
              </c:pt>
              <c:pt idx="13" formatCode="&quot;$&quot;#,##0_);\(&quot;$&quot;#,##0\)">
                <c:v>192699.50217860806</c:v>
              </c:pt>
              <c:pt idx="14" formatCode="&quot;$&quot;#,##0_);\(&quot;$&quot;#,##0\)">
                <c:v>185346.48346898402</c:v>
              </c:pt>
            </c:numLit>
          </c:val>
          <c:extLst>
            <c:ext xmlns:c16="http://schemas.microsoft.com/office/drawing/2014/chart" uri="{C3380CC4-5D6E-409C-BE32-E72D297353CC}">
              <c16:uniqueId val="{00000001-3CCE-47E3-A4E8-E1A7F93C1605}"/>
            </c:ext>
          </c:extLst>
        </c:ser>
        <c:dLbls>
          <c:showLegendKey val="0"/>
          <c:showVal val="0"/>
          <c:showCatName val="0"/>
          <c:showSerName val="0"/>
          <c:showPercent val="0"/>
          <c:showBubbleSize val="0"/>
        </c:dLbls>
        <c:gapWidth val="150"/>
        <c:axId val="316938152"/>
        <c:axId val="316938480"/>
      </c:barChart>
      <c:lineChart>
        <c:grouping val="standard"/>
        <c:varyColors val="0"/>
        <c:ser>
          <c:idx val="2"/>
          <c:order val="2"/>
          <c:tx>
            <c:v>Household/Whānau Total Equity </c:v>
          </c:tx>
          <c:spPr>
            <a:ln w="31750" cap="rnd">
              <a:solidFill>
                <a:srgbClr val="FFC000"/>
              </a:solidFill>
              <a:round/>
            </a:ln>
            <a:effectLst/>
          </c:spPr>
          <c:marker>
            <c:symbol val="none"/>
          </c:marker>
          <c:val>
            <c:numLit>
              <c:formatCode>"$"#,##0_);\("$"#,##0\)</c:formatCode>
              <c:ptCount val="15"/>
              <c:pt idx="0">
                <c:v>49146.737595787054</c:v>
              </c:pt>
              <c:pt idx="1">
                <c:v>58610.14629131079</c:v>
              </c:pt>
              <c:pt idx="2">
                <c:v>68404.918030304791</c:v>
              </c:pt>
              <c:pt idx="3">
                <c:v>78546.561002985909</c:v>
              </c:pt>
              <c:pt idx="4">
                <c:v>89051.448621459553</c:v>
              </c:pt>
              <c:pt idx="5">
                <c:v>99936.871515287829</c:v>
              </c:pt>
              <c:pt idx="6">
                <c:v>111221.09273516436</c:v>
              </c:pt>
              <c:pt idx="7">
                <c:v>122923.40636437087</c:v>
              </c:pt>
              <c:pt idx="8">
                <c:v>135064.19975015221</c:v>
              </c:pt>
              <c:pt idx="9">
                <c:v>147665.01958038931</c:v>
              </c:pt>
              <c:pt idx="10">
                <c:v>160748.64204501751</c:v>
              </c:pt>
              <c:pt idx="11">
                <c:v>174339.14733658635</c:v>
              </c:pt>
              <c:pt idx="12">
                <c:v>188461.99876023762</c:v>
              </c:pt>
              <c:pt idx="13">
                <c:v>203144.12674025365</c:v>
              </c:pt>
              <c:pt idx="14">
                <c:v>218414.01802825494</c:v>
              </c:pt>
            </c:numLit>
          </c:val>
          <c:smooth val="0"/>
          <c:extLst>
            <c:ext xmlns:c16="http://schemas.microsoft.com/office/drawing/2014/chart" uri="{C3380CC4-5D6E-409C-BE32-E72D297353CC}">
              <c16:uniqueId val="{00000002-3CCE-47E3-A4E8-E1A7F93C1605}"/>
            </c:ext>
          </c:extLst>
        </c:ser>
        <c:dLbls>
          <c:showLegendKey val="0"/>
          <c:showVal val="0"/>
          <c:showCatName val="0"/>
          <c:showSerName val="0"/>
          <c:showPercent val="0"/>
          <c:showBubbleSize val="0"/>
        </c:dLbls>
        <c:marker val="1"/>
        <c:smooth val="0"/>
        <c:axId val="316938152"/>
        <c:axId val="316938480"/>
      </c:lineChart>
      <c:catAx>
        <c:axId val="316938152"/>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r>
                  <a:rPr lang="en-NZ" sz="1400"/>
                  <a:t>Year</a:t>
                </a: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316938480"/>
        <c:crosses val="autoZero"/>
        <c:auto val="1"/>
        <c:lblAlgn val="ctr"/>
        <c:lblOffset val="100"/>
        <c:noMultiLvlLbl val="0"/>
      </c:catAx>
      <c:valAx>
        <c:axId val="316938480"/>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0" spcFirstLastPara="1" vertOverflow="ellipsis" wrap="square" anchor="ctr" anchorCtr="1"/>
              <a:lstStyle/>
              <a:p>
                <a:pPr>
                  <a:defRPr sz="900" b="1" i="0" u="none" strike="noStrike" kern="1200" baseline="0">
                    <a:solidFill>
                      <a:schemeClr val="dk1"/>
                    </a:solidFill>
                    <a:latin typeface="+mn-lt"/>
                    <a:ea typeface="+mn-ea"/>
                    <a:cs typeface="+mn-cs"/>
                  </a:defRPr>
                </a:pPr>
                <a:r>
                  <a:rPr lang="en-NZ" sz="1600"/>
                  <a:t>$</a:t>
                </a:r>
              </a:p>
              <a:p>
                <a:pPr>
                  <a:defRPr/>
                </a:pPr>
                <a:endParaRPr lang="en-NZ"/>
              </a:p>
            </c:rich>
          </c:tx>
          <c:overlay val="0"/>
          <c:spPr>
            <a:noFill/>
            <a:ln>
              <a:noFill/>
            </a:ln>
            <a:effectLst/>
          </c:spPr>
          <c:txPr>
            <a:bodyPr rot="0" spcFirstLastPara="1" vertOverflow="ellipsis" wrap="square" anchor="ctr" anchorCtr="1"/>
            <a:lstStyle/>
            <a:p>
              <a:pPr>
                <a:defRPr sz="900" b="1" i="0" u="none" strike="noStrike" kern="1200" baseline="0">
                  <a:solidFill>
                    <a:schemeClr val="dk1"/>
                  </a:solidFill>
                  <a:latin typeface="+mn-lt"/>
                  <a:ea typeface="+mn-ea"/>
                  <a:cs typeface="+mn-cs"/>
                </a:defRPr>
              </a:pPr>
              <a:endParaRPr lang="en-US"/>
            </a:p>
          </c:txPr>
        </c:title>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dk1"/>
                </a:solidFill>
                <a:latin typeface="+mn-lt"/>
                <a:ea typeface="+mn-ea"/>
                <a:cs typeface="+mn-cs"/>
              </a:defRPr>
            </a:pPr>
            <a:endParaRPr lang="en-US"/>
          </a:p>
        </c:txPr>
        <c:crossAx val="316938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dk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2000" b="1" baseline="0"/>
              <a:t>Monthly Project Cashflow </a:t>
            </a:r>
            <a:br>
              <a:rPr lang="en-NZ" sz="2000" b="1" baseline="0"/>
            </a:br>
            <a:r>
              <a:rPr lang="en-NZ" sz="1400" b="1" baseline="0"/>
              <a:t>Development, Construction and Sale periods </a:t>
            </a:r>
            <a:endParaRPr lang="en-NZ" sz="2000" b="1" baseline="0"/>
          </a:p>
        </c:rich>
      </c:tx>
      <c:layout>
        <c:manualLayout>
          <c:xMode val="edge"/>
          <c:yMode val="edge"/>
          <c:x val="0.40144272303815315"/>
          <c:y val="1.304227144045311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093054101744661"/>
          <c:y val="0.15347598202807242"/>
          <c:w val="0.8573678820599292"/>
          <c:h val="0.74312476723196252"/>
        </c:manualLayout>
      </c:layout>
      <c:barChart>
        <c:barDir val="col"/>
        <c:grouping val="clustered"/>
        <c:varyColors val="0"/>
        <c:ser>
          <c:idx val="0"/>
          <c:order val="0"/>
          <c:tx>
            <c:strRef>
              <c:f>'Detailed Feasibility'!$B$159</c:f>
              <c:strCache>
                <c:ptCount val="1"/>
                <c:pt idx="0">
                  <c:v>Total Construction and Development Costs</c:v>
                </c:pt>
              </c:strCache>
            </c:strRef>
          </c:tx>
          <c:spPr>
            <a:solidFill>
              <a:srgbClr val="FF0000"/>
            </a:solidFill>
            <a:ln>
              <a:solidFill>
                <a:srgbClr val="FF0000"/>
              </a:solidFill>
            </a:ln>
            <a:effectLst/>
          </c:spPr>
          <c:invertIfNegative val="0"/>
          <c:val>
            <c:numRef>
              <c:f>'Detailed Feasibility'!$F$159:$BM$159</c:f>
              <c:numCache>
                <c:formatCode>"$"#,##0;[Red]\("$"#,##0\)</c:formatCode>
                <c:ptCount val="60"/>
                <c:pt idx="0">
                  <c:v>-2010000</c:v>
                </c:pt>
                <c:pt idx="1">
                  <c:v>0</c:v>
                </c:pt>
                <c:pt idx="2">
                  <c:v>0</c:v>
                </c:pt>
                <c:pt idx="3">
                  <c:v>0</c:v>
                </c:pt>
                <c:pt idx="4">
                  <c:v>-80193.333333333328</c:v>
                </c:pt>
                <c:pt idx="5">
                  <c:v>-111050.47619047618</c:v>
                </c:pt>
                <c:pt idx="6">
                  <c:v>-111050.47619047618</c:v>
                </c:pt>
                <c:pt idx="7">
                  <c:v>-141050.47619047618</c:v>
                </c:pt>
                <c:pt idx="8">
                  <c:v>-141050.47619047618</c:v>
                </c:pt>
                <c:pt idx="9">
                  <c:v>-141050.47619047618</c:v>
                </c:pt>
                <c:pt idx="10">
                  <c:v>-141050.47619047618</c:v>
                </c:pt>
                <c:pt idx="11">
                  <c:v>-141050.47619047618</c:v>
                </c:pt>
                <c:pt idx="12">
                  <c:v>-141050.47619047618</c:v>
                </c:pt>
                <c:pt idx="13">
                  <c:v>-698800.47619047621</c:v>
                </c:pt>
                <c:pt idx="14">
                  <c:v>-141050.47619047618</c:v>
                </c:pt>
                <c:pt idx="15">
                  <c:v>-141050.47619047618</c:v>
                </c:pt>
                <c:pt idx="16">
                  <c:v>-698800.47619047621</c:v>
                </c:pt>
                <c:pt idx="17">
                  <c:v>-698800.47619047621</c:v>
                </c:pt>
                <c:pt idx="18">
                  <c:v>-141050.47619047618</c:v>
                </c:pt>
                <c:pt idx="19">
                  <c:v>0</c:v>
                </c:pt>
                <c:pt idx="20">
                  <c:v>-506000</c:v>
                </c:pt>
                <c:pt idx="21">
                  <c:v>0</c:v>
                </c:pt>
                <c:pt idx="22">
                  <c:v>0</c:v>
                </c:pt>
                <c:pt idx="23">
                  <c:v>-1196000</c:v>
                </c:pt>
                <c:pt idx="24">
                  <c:v>-506000</c:v>
                </c:pt>
                <c:pt idx="25">
                  <c:v>0</c:v>
                </c:pt>
                <c:pt idx="26">
                  <c:v>-690000</c:v>
                </c:pt>
                <c:pt idx="27">
                  <c:v>-690000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9E0D-48F5-8270-826D4D16B944}"/>
            </c:ext>
          </c:extLst>
        </c:ser>
        <c:ser>
          <c:idx val="2"/>
          <c:order val="1"/>
          <c:tx>
            <c:strRef>
              <c:f>'Detailed Feasibility'!$B$143</c:f>
              <c:strCache>
                <c:ptCount val="1"/>
                <c:pt idx="0">
                  <c:v>Total PHO Loan and Other Funding </c:v>
                </c:pt>
              </c:strCache>
            </c:strRef>
          </c:tx>
          <c:spPr>
            <a:solidFill>
              <a:srgbClr val="00B0F0"/>
            </a:solidFill>
            <a:ln>
              <a:solidFill>
                <a:srgbClr val="00B0F0"/>
              </a:solidFill>
            </a:ln>
            <a:effectLst/>
          </c:spPr>
          <c:invertIfNegative val="0"/>
          <c:val>
            <c:numRef>
              <c:f>'Detailed Feasibility'!$F$143:$BM$143</c:f>
              <c:numCache>
                <c:formatCode>"$"#,##0;[Red]\("$"#,##0\)</c:formatCode>
                <c:ptCount val="60"/>
                <c:pt idx="0">
                  <c:v>0</c:v>
                </c:pt>
                <c:pt idx="1">
                  <c:v>0</c:v>
                </c:pt>
                <c:pt idx="2">
                  <c:v>0</c:v>
                </c:pt>
                <c:pt idx="3">
                  <c:v>0</c:v>
                </c:pt>
                <c:pt idx="4">
                  <c:v>0</c:v>
                </c:pt>
                <c:pt idx="5">
                  <c:v>0</c:v>
                </c:pt>
                <c:pt idx="6">
                  <c:v>0</c:v>
                </c:pt>
                <c:pt idx="7">
                  <c:v>104244.1875</c:v>
                </c:pt>
                <c:pt idx="8">
                  <c:v>104244.1875</c:v>
                </c:pt>
                <c:pt idx="9">
                  <c:v>104244.1875</c:v>
                </c:pt>
                <c:pt idx="10">
                  <c:v>104244.1875</c:v>
                </c:pt>
                <c:pt idx="11">
                  <c:v>104244.1875</c:v>
                </c:pt>
                <c:pt idx="12">
                  <c:v>104244.1875</c:v>
                </c:pt>
                <c:pt idx="13">
                  <c:v>104244.1875</c:v>
                </c:pt>
                <c:pt idx="14">
                  <c:v>104244.1875</c:v>
                </c:pt>
                <c:pt idx="15">
                  <c:v>104244.1875</c:v>
                </c:pt>
                <c:pt idx="16">
                  <c:v>540390.1875</c:v>
                </c:pt>
                <c:pt idx="17">
                  <c:v>685772.1875</c:v>
                </c:pt>
                <c:pt idx="18">
                  <c:v>104244.1875</c:v>
                </c:pt>
                <c:pt idx="19">
                  <c:v>0</c:v>
                </c:pt>
                <c:pt idx="20">
                  <c:v>0</c:v>
                </c:pt>
                <c:pt idx="21">
                  <c:v>0</c:v>
                </c:pt>
                <c:pt idx="22">
                  <c:v>0</c:v>
                </c:pt>
                <c:pt idx="23">
                  <c:v>385150.5</c:v>
                </c:pt>
                <c:pt idx="24">
                  <c:v>513534</c:v>
                </c:pt>
                <c:pt idx="25">
                  <c:v>0</c:v>
                </c:pt>
                <c:pt idx="26">
                  <c:v>429633.75000000006</c:v>
                </c:pt>
                <c:pt idx="27">
                  <c:v>572845.00000000012</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9E0D-48F5-8270-826D4D16B944}"/>
            </c:ext>
          </c:extLst>
        </c:ser>
        <c:ser>
          <c:idx val="1"/>
          <c:order val="2"/>
          <c:tx>
            <c:strRef>
              <c:f>'Detailed Feasibility'!$B$131</c:f>
              <c:strCache>
                <c:ptCount val="1"/>
                <c:pt idx="0">
                  <c:v>Total Sales Income and Ground Rental </c:v>
                </c:pt>
              </c:strCache>
            </c:strRef>
          </c:tx>
          <c:spPr>
            <a:solidFill>
              <a:srgbClr val="00B050"/>
            </a:solidFill>
            <a:ln>
              <a:solidFill>
                <a:srgbClr val="00B050"/>
              </a:solidFill>
            </a:ln>
            <a:effectLst/>
          </c:spPr>
          <c:invertIfNegative val="0"/>
          <c:val>
            <c:numRef>
              <c:f>'Detailed Feasibility'!$F$131:$BM$131</c:f>
              <c:numCache>
                <c:formatCode>"$"#,##0;[Red]\("$"#,##0\)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1901975.0000000002</c:v>
                </c:pt>
                <c:pt idx="19">
                  <c:v>1975</c:v>
                </c:pt>
                <c:pt idx="20">
                  <c:v>1975</c:v>
                </c:pt>
                <c:pt idx="21">
                  <c:v>1975</c:v>
                </c:pt>
                <c:pt idx="22">
                  <c:v>1975</c:v>
                </c:pt>
                <c:pt idx="23">
                  <c:v>1975</c:v>
                </c:pt>
                <c:pt idx="24">
                  <c:v>1975</c:v>
                </c:pt>
                <c:pt idx="25">
                  <c:v>1760196.7391304348</c:v>
                </c:pt>
                <c:pt idx="26">
                  <c:v>3675</c:v>
                </c:pt>
                <c:pt idx="27">
                  <c:v>3675</c:v>
                </c:pt>
                <c:pt idx="28">
                  <c:v>1831511.9565217393</c:v>
                </c:pt>
                <c:pt idx="29">
                  <c:v>5425</c:v>
                </c:pt>
                <c:pt idx="30">
                  <c:v>5425</c:v>
                </c:pt>
                <c:pt idx="31">
                  <c:v>5425</c:v>
                </c:pt>
                <c:pt idx="32">
                  <c:v>5425</c:v>
                </c:pt>
                <c:pt idx="33">
                  <c:v>5425</c:v>
                </c:pt>
                <c:pt idx="34">
                  <c:v>5425</c:v>
                </c:pt>
                <c:pt idx="35">
                  <c:v>5425</c:v>
                </c:pt>
                <c:pt idx="36">
                  <c:v>5425</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9E0D-48F5-8270-826D4D16B944}"/>
            </c:ext>
          </c:extLst>
        </c:ser>
        <c:dLbls>
          <c:showLegendKey val="0"/>
          <c:showVal val="0"/>
          <c:showCatName val="0"/>
          <c:showSerName val="0"/>
          <c:showPercent val="0"/>
          <c:showBubbleSize val="0"/>
        </c:dLbls>
        <c:gapWidth val="150"/>
        <c:axId val="114825992"/>
        <c:axId val="114826648"/>
      </c:barChart>
      <c:lineChart>
        <c:grouping val="standard"/>
        <c:varyColors val="0"/>
        <c:ser>
          <c:idx val="3"/>
          <c:order val="3"/>
          <c:tx>
            <c:strRef>
              <c:f>'Detailed Feasibility'!$B$161</c:f>
              <c:strCache>
                <c:ptCount val="1"/>
                <c:pt idx="0">
                  <c:v>Cumulative Project Surplus/Deficit</c:v>
                </c:pt>
              </c:strCache>
            </c:strRef>
          </c:tx>
          <c:spPr>
            <a:ln w="28575" cap="rnd">
              <a:solidFill>
                <a:srgbClr val="FFC000"/>
              </a:solidFill>
              <a:round/>
            </a:ln>
            <a:effectLst/>
          </c:spPr>
          <c:marker>
            <c:symbol val="none"/>
          </c:marker>
          <c:val>
            <c:numRef>
              <c:f>'Detailed Feasibility'!$F$161:$BM$161</c:f>
              <c:numCache>
                <c:formatCode>"$"#,##0;[Red]\("$"#,##0\)</c:formatCode>
                <c:ptCount val="60"/>
                <c:pt idx="0">
                  <c:v>-2010000</c:v>
                </c:pt>
                <c:pt idx="1">
                  <c:v>-2010000</c:v>
                </c:pt>
                <c:pt idx="2">
                  <c:v>-2010000</c:v>
                </c:pt>
                <c:pt idx="3">
                  <c:v>-2010000</c:v>
                </c:pt>
                <c:pt idx="4">
                  <c:v>-2090193.3333333333</c:v>
                </c:pt>
                <c:pt idx="5">
                  <c:v>-2201243.8095238092</c:v>
                </c:pt>
                <c:pt idx="6">
                  <c:v>-2312294.2857142854</c:v>
                </c:pt>
                <c:pt idx="7">
                  <c:v>-2349100.5744047617</c:v>
                </c:pt>
                <c:pt idx="8">
                  <c:v>-2385906.8630952379</c:v>
                </c:pt>
                <c:pt idx="9">
                  <c:v>-2422713.1517857141</c:v>
                </c:pt>
                <c:pt idx="10">
                  <c:v>-2459519.4404761903</c:v>
                </c:pt>
                <c:pt idx="11">
                  <c:v>-2496325.7291666665</c:v>
                </c:pt>
                <c:pt idx="12">
                  <c:v>-2533132.0178571427</c:v>
                </c:pt>
                <c:pt idx="13">
                  <c:v>-3127688.3065476189</c:v>
                </c:pt>
                <c:pt idx="14">
                  <c:v>-3164494.5952380951</c:v>
                </c:pt>
                <c:pt idx="15">
                  <c:v>-3201300.8839285714</c:v>
                </c:pt>
                <c:pt idx="16">
                  <c:v>-3359711.1726190476</c:v>
                </c:pt>
                <c:pt idx="17">
                  <c:v>-3372739.4613095238</c:v>
                </c:pt>
                <c:pt idx="18">
                  <c:v>-1507570.7499999998</c:v>
                </c:pt>
                <c:pt idx="19">
                  <c:v>-1505595.7499999998</c:v>
                </c:pt>
                <c:pt idx="20">
                  <c:v>-2009620.7499999998</c:v>
                </c:pt>
                <c:pt idx="21">
                  <c:v>-2007645.7499999998</c:v>
                </c:pt>
                <c:pt idx="22">
                  <c:v>-2005670.7499999998</c:v>
                </c:pt>
                <c:pt idx="23">
                  <c:v>-2814545.25</c:v>
                </c:pt>
                <c:pt idx="24">
                  <c:v>-2805036.25</c:v>
                </c:pt>
                <c:pt idx="25">
                  <c:v>-1044839.5108695652</c:v>
                </c:pt>
                <c:pt idx="26">
                  <c:v>-1301530.7608695652</c:v>
                </c:pt>
                <c:pt idx="27">
                  <c:v>-1415010.760869565</c:v>
                </c:pt>
                <c:pt idx="28">
                  <c:v>416501.1956521743</c:v>
                </c:pt>
                <c:pt idx="29">
                  <c:v>421926.1956521743</c:v>
                </c:pt>
                <c:pt idx="30">
                  <c:v>427351.1956521743</c:v>
                </c:pt>
                <c:pt idx="31">
                  <c:v>432776.1956521743</c:v>
                </c:pt>
                <c:pt idx="32">
                  <c:v>438201.1956521743</c:v>
                </c:pt>
                <c:pt idx="33">
                  <c:v>443626.1956521743</c:v>
                </c:pt>
                <c:pt idx="34">
                  <c:v>449051.1956521743</c:v>
                </c:pt>
                <c:pt idx="35">
                  <c:v>454476.1956521743</c:v>
                </c:pt>
                <c:pt idx="36">
                  <c:v>459901.1956521743</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CB29-4AFD-B9E6-D51DD5DD0C03}"/>
            </c:ext>
          </c:extLst>
        </c:ser>
        <c:dLbls>
          <c:showLegendKey val="0"/>
          <c:showVal val="0"/>
          <c:showCatName val="0"/>
          <c:showSerName val="0"/>
          <c:showPercent val="0"/>
          <c:showBubbleSize val="0"/>
        </c:dLbls>
        <c:marker val="1"/>
        <c:smooth val="0"/>
        <c:axId val="114825992"/>
        <c:axId val="114826648"/>
      </c:lineChart>
      <c:catAx>
        <c:axId val="114825992"/>
        <c:scaling>
          <c:orientation val="minMax"/>
        </c:scaling>
        <c:delete val="0"/>
        <c:axPos val="b"/>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Month</a:t>
                </a:r>
              </a:p>
            </c:rich>
          </c:tx>
          <c:layout>
            <c:manualLayout>
              <c:xMode val="edge"/>
              <c:yMode val="edge"/>
              <c:x val="0.48404099251182858"/>
              <c:y val="0.8966007879710524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6648"/>
        <c:crosses val="autoZero"/>
        <c:auto val="1"/>
        <c:lblAlgn val="ctr"/>
        <c:lblOffset val="100"/>
        <c:noMultiLvlLbl val="0"/>
      </c:catAx>
      <c:valAx>
        <c:axId val="114826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NZ" sz="1200"/>
                  <a:t>Quantum $</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quot;$&quot;#,##0;[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825992"/>
        <c:crosses val="autoZero"/>
        <c:crossBetween val="between"/>
      </c:valAx>
      <c:spPr>
        <a:noFill/>
        <a:ln>
          <a:noFill/>
        </a:ln>
        <a:effectLst/>
      </c:spPr>
    </c:plotArea>
    <c:legend>
      <c:legendPos val="b"/>
      <c:layout>
        <c:manualLayout>
          <c:xMode val="edge"/>
          <c:yMode val="edge"/>
          <c:x val="4.6601275130282276E-2"/>
          <c:y val="0.94288258547831705"/>
          <c:w val="0.78606484192757919"/>
          <c:h val="5.7117414521682952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544116</xdr:colOff>
      <xdr:row>8</xdr:row>
      <xdr:rowOff>122634</xdr:rowOff>
    </xdr:from>
    <xdr:to>
      <xdr:col>8</xdr:col>
      <xdr:colOff>5736433</xdr:colOff>
      <xdr:row>12</xdr:row>
      <xdr:rowOff>80302</xdr:rowOff>
    </xdr:to>
    <xdr:sp macro="" textlink="">
      <xdr:nvSpPr>
        <xdr:cNvPr id="8" name="TextBox 7">
          <a:extLst>
            <a:ext uri="{FF2B5EF4-FFF2-40B4-BE49-F238E27FC236}">
              <a16:creationId xmlns:a16="http://schemas.microsoft.com/office/drawing/2014/main" id="{CC970D91-07F4-4317-AF46-8716E250EC1C}"/>
            </a:ext>
          </a:extLst>
        </xdr:cNvPr>
        <xdr:cNvSpPr txBox="1"/>
      </xdr:nvSpPr>
      <xdr:spPr>
        <a:xfrm>
          <a:off x="7902179" y="1682353"/>
          <a:ext cx="6728223" cy="719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b="1">
              <a:solidFill>
                <a:schemeClr val="dk1"/>
              </a:solidFill>
              <a:effectLst/>
              <a:latin typeface="+mn-lt"/>
              <a:ea typeface="+mn-ea"/>
              <a:cs typeface="+mn-cs"/>
            </a:rPr>
            <a:t>Disclaimer </a:t>
          </a:r>
          <a:r>
            <a:rPr lang="en-NZ" sz="900">
              <a:solidFill>
                <a:schemeClr val="dk1"/>
              </a:solidFill>
              <a:effectLst/>
              <a:latin typeface="+mn-lt"/>
              <a:ea typeface="+mn-ea"/>
              <a:cs typeface="+mn-cs"/>
            </a:rPr>
            <a:t>: The ‘</a:t>
          </a:r>
          <a:r>
            <a:rPr lang="en-NZ" sz="900" i="1">
              <a:solidFill>
                <a:schemeClr val="dk1"/>
              </a:solidFill>
              <a:effectLst/>
              <a:latin typeface="+mn-lt"/>
              <a:ea typeface="+mn-ea"/>
              <a:cs typeface="+mn-cs"/>
            </a:rPr>
            <a:t>Model</a:t>
          </a:r>
          <a:r>
            <a:rPr lang="en-NZ" sz="900">
              <a:solidFill>
                <a:schemeClr val="dk1"/>
              </a:solidFill>
              <a:effectLst/>
              <a:latin typeface="+mn-lt"/>
              <a:ea typeface="+mn-ea"/>
              <a:cs typeface="+mn-cs"/>
            </a:rPr>
            <a:t>’ is provided to you strictly on the basis that it is for HUD internal assessment purposes only and must not be relied upon by you or any other recipient in any way or for any purpose.  You must make your own independent financial assessment and due diligence and satisfy yourself as to all and any matters relevant to the Progressive Home Ownership project you are submitting a funding application for.</a:t>
          </a:r>
          <a:endParaRPr lang="en-NZ" sz="900">
            <a:effectLst/>
          </a:endParaRPr>
        </a:p>
        <a:p>
          <a:endParaRPr lang="en-NZ" sz="1100"/>
        </a:p>
      </xdr:txBody>
    </xdr:sp>
    <xdr:clientData/>
  </xdr:twoCellAnchor>
  <xdr:twoCellAnchor editAs="oneCell">
    <xdr:from>
      <xdr:col>1</xdr:col>
      <xdr:colOff>209551</xdr:colOff>
      <xdr:row>8</xdr:row>
      <xdr:rowOff>95250</xdr:rowOff>
    </xdr:from>
    <xdr:to>
      <xdr:col>4</xdr:col>
      <xdr:colOff>533401</xdr:colOff>
      <xdr:row>12</xdr:row>
      <xdr:rowOff>123825</xdr:rowOff>
    </xdr:to>
    <xdr:pic>
      <xdr:nvPicPr>
        <xdr:cNvPr id="9" name="Picture 8">
          <a:extLst>
            <a:ext uri="{FF2B5EF4-FFF2-40B4-BE49-F238E27FC236}">
              <a16:creationId xmlns:a16="http://schemas.microsoft.com/office/drawing/2014/main" id="{DE5E20E7-7C51-477B-8C73-72792F0FF59D}"/>
            </a:ext>
          </a:extLst>
        </xdr:cNvPr>
        <xdr:cNvPicPr>
          <a:picLocks noChangeAspect="1"/>
        </xdr:cNvPicPr>
      </xdr:nvPicPr>
      <xdr:blipFill>
        <a:blip xmlns:r="http://schemas.openxmlformats.org/officeDocument/2006/relationships" r:embed="rId1"/>
        <a:stretch>
          <a:fillRect/>
        </a:stretch>
      </xdr:blipFill>
      <xdr:spPr>
        <a:xfrm>
          <a:off x="819151" y="1266825"/>
          <a:ext cx="2952750"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949933</xdr:colOff>
      <xdr:row>6</xdr:row>
      <xdr:rowOff>157334</xdr:rowOff>
    </xdr:from>
    <xdr:to>
      <xdr:col>9</xdr:col>
      <xdr:colOff>789987</xdr:colOff>
      <xdr:row>11</xdr:row>
      <xdr:rowOff>20695</xdr:rowOff>
    </xdr:to>
    <xdr:pic>
      <xdr:nvPicPr>
        <xdr:cNvPr id="4" name="Picture 3">
          <a:extLst>
            <a:ext uri="{FF2B5EF4-FFF2-40B4-BE49-F238E27FC236}">
              <a16:creationId xmlns:a16="http://schemas.microsoft.com/office/drawing/2014/main" id="{33495BC6-A641-4004-944B-3445A6F3E2FC}"/>
            </a:ext>
          </a:extLst>
        </xdr:cNvPr>
        <xdr:cNvPicPr>
          <a:picLocks noChangeAspect="1"/>
        </xdr:cNvPicPr>
      </xdr:nvPicPr>
      <xdr:blipFill>
        <a:blip xmlns:r="http://schemas.openxmlformats.org/officeDocument/2006/relationships" r:embed="rId1"/>
        <a:stretch>
          <a:fillRect/>
        </a:stretch>
      </xdr:blipFill>
      <xdr:spPr>
        <a:xfrm>
          <a:off x="12556826" y="1368370"/>
          <a:ext cx="3201018" cy="870289"/>
        </a:xfrm>
        <a:prstGeom prst="rect">
          <a:avLst/>
        </a:prstGeom>
      </xdr:spPr>
    </xdr:pic>
    <xdr:clientData/>
  </xdr:twoCellAnchor>
  <xdr:twoCellAnchor>
    <xdr:from>
      <xdr:col>0</xdr:col>
      <xdr:colOff>571500</xdr:colOff>
      <xdr:row>125</xdr:row>
      <xdr:rowOff>15875</xdr:rowOff>
    </xdr:from>
    <xdr:to>
      <xdr:col>4</xdr:col>
      <xdr:colOff>1567089</xdr:colOff>
      <xdr:row>144</xdr:row>
      <xdr:rowOff>176439</xdr:rowOff>
    </xdr:to>
    <xdr:graphicFrame macro="">
      <xdr:nvGraphicFramePr>
        <xdr:cNvPr id="5" name="Chart 4">
          <a:extLst>
            <a:ext uri="{FF2B5EF4-FFF2-40B4-BE49-F238E27FC236}">
              <a16:creationId xmlns:a16="http://schemas.microsoft.com/office/drawing/2014/main" id="{0BF1DA12-47D7-4784-8245-669CD9708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1016411</xdr:colOff>
      <xdr:row>7</xdr:row>
      <xdr:rowOff>158750</xdr:rowOff>
    </xdr:from>
    <xdr:to>
      <xdr:col>8</xdr:col>
      <xdr:colOff>3890</xdr:colOff>
      <xdr:row>10</xdr:row>
      <xdr:rowOff>159653</xdr:rowOff>
    </xdr:to>
    <xdr:pic>
      <xdr:nvPicPr>
        <xdr:cNvPr id="2" name="Picture 1">
          <a:extLst>
            <a:ext uri="{FF2B5EF4-FFF2-40B4-BE49-F238E27FC236}">
              <a16:creationId xmlns:a16="http://schemas.microsoft.com/office/drawing/2014/main" id="{0A824EC5-F84F-4720-9970-9EA47225DC2C}"/>
            </a:ext>
          </a:extLst>
        </xdr:cNvPr>
        <xdr:cNvPicPr>
          <a:picLocks noChangeAspect="1"/>
        </xdr:cNvPicPr>
      </xdr:nvPicPr>
      <xdr:blipFill>
        <a:blip xmlns:r="http://schemas.openxmlformats.org/officeDocument/2006/relationships" r:embed="rId1"/>
        <a:stretch>
          <a:fillRect/>
        </a:stretch>
      </xdr:blipFill>
      <xdr:spPr>
        <a:xfrm>
          <a:off x="16081786" y="1571625"/>
          <a:ext cx="2182323" cy="5247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607786</xdr:colOff>
      <xdr:row>5</xdr:row>
      <xdr:rowOff>89299</xdr:rowOff>
    </xdr:from>
    <xdr:ext cx="2517792" cy="729778"/>
    <xdr:pic>
      <xdr:nvPicPr>
        <xdr:cNvPr id="2" name="Picture 1">
          <a:extLst>
            <a:ext uri="{FF2B5EF4-FFF2-40B4-BE49-F238E27FC236}">
              <a16:creationId xmlns:a16="http://schemas.microsoft.com/office/drawing/2014/main" id="{6CC2E42B-9F44-408D-83FA-140E1AB42247}"/>
            </a:ext>
          </a:extLst>
        </xdr:cNvPr>
        <xdr:cNvPicPr>
          <a:picLocks noChangeAspect="1"/>
        </xdr:cNvPicPr>
      </xdr:nvPicPr>
      <xdr:blipFill>
        <a:blip xmlns:r="http://schemas.openxmlformats.org/officeDocument/2006/relationships" r:embed="rId1"/>
        <a:stretch>
          <a:fillRect/>
        </a:stretch>
      </xdr:blipFill>
      <xdr:spPr>
        <a:xfrm>
          <a:off x="18800536" y="994174"/>
          <a:ext cx="2517792" cy="72977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20</xdr:row>
      <xdr:rowOff>46302</xdr:rowOff>
    </xdr:from>
    <xdr:to>
      <xdr:col>12</xdr:col>
      <xdr:colOff>0</xdr:colOff>
      <xdr:row>41</xdr:row>
      <xdr:rowOff>95250</xdr:rowOff>
    </xdr:to>
    <xdr:graphicFrame macro="">
      <xdr:nvGraphicFramePr>
        <xdr:cNvPr id="2" name="Chart 1">
          <a:extLst>
            <a:ext uri="{FF2B5EF4-FFF2-40B4-BE49-F238E27FC236}">
              <a16:creationId xmlns:a16="http://schemas.microsoft.com/office/drawing/2014/main" id="{300A6C03-7CCD-4A42-99E8-B2ACCD0F6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87692</xdr:colOff>
      <xdr:row>5</xdr:row>
      <xdr:rowOff>140418</xdr:rowOff>
    </xdr:from>
    <xdr:ext cx="1989666" cy="459052"/>
    <xdr:pic>
      <xdr:nvPicPr>
        <xdr:cNvPr id="3" name="Picture 1">
          <a:extLst>
            <a:ext uri="{FF2B5EF4-FFF2-40B4-BE49-F238E27FC236}">
              <a16:creationId xmlns:a16="http://schemas.microsoft.com/office/drawing/2014/main" id="{48ACA37A-F190-48DE-B027-D9B7F3B1508F}"/>
            </a:ext>
          </a:extLst>
        </xdr:cNvPr>
        <xdr:cNvPicPr>
          <a:picLocks noChangeAspect="1"/>
        </xdr:cNvPicPr>
      </xdr:nvPicPr>
      <xdr:blipFill rotWithShape="1">
        <a:blip xmlns:r="http://schemas.openxmlformats.org/officeDocument/2006/relationships" r:embed="rId2"/>
        <a:srcRect l="3017" t="8155" r="8109" b="21101"/>
        <a:stretch/>
      </xdr:blipFill>
      <xdr:spPr>
        <a:xfrm>
          <a:off x="14883192" y="1140543"/>
          <a:ext cx="1989666" cy="459052"/>
        </a:xfrm>
        <a:prstGeom prst="rect">
          <a:avLst/>
        </a:prstGeom>
      </xdr:spPr>
    </xdr:pic>
    <xdr:clientData/>
  </xdr:oneCellAnchor>
</xdr:wsDr>
</file>

<file path=xl/theme/theme1.xml><?xml version="1.0" encoding="utf-8"?>
<a:theme xmlns:a="http://schemas.openxmlformats.org/drawingml/2006/main" name="Office Theme">
  <a:themeElements>
    <a:clrScheme name="TPG Coulours">
      <a:dk1>
        <a:sysClr val="windowText" lastClr="000000"/>
      </a:dk1>
      <a:lt1>
        <a:srgbClr val="FFFFFF"/>
      </a:lt1>
      <a:dk2>
        <a:srgbClr val="353F48"/>
      </a:dk2>
      <a:lt2>
        <a:srgbClr val="EBEBEB"/>
      </a:lt2>
      <a:accent1>
        <a:srgbClr val="67AD96"/>
      </a:accent1>
      <a:accent2>
        <a:srgbClr val="353F48"/>
      </a:accent2>
      <a:accent3>
        <a:srgbClr val="98999B"/>
      </a:accent3>
      <a:accent4>
        <a:srgbClr val="ADD3C6"/>
      </a:accent4>
      <a:accent5>
        <a:srgbClr val="B6C0CA"/>
      </a:accent5>
      <a:accent6>
        <a:srgbClr val="ADD3C6"/>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FD35B-3910-4BDF-8FBC-0D9512D229FA}">
  <sheetPr codeName="Sheet1">
    <tabColor theme="0"/>
  </sheetPr>
  <dimension ref="A1:AW223"/>
  <sheetViews>
    <sheetView zoomScale="90" zoomScaleNormal="90" workbookViewId="0">
      <selection activeCell="M17" sqref="M17"/>
    </sheetView>
  </sheetViews>
  <sheetFormatPr defaultRowHeight="15" x14ac:dyDescent="0.25"/>
  <cols>
    <col min="2" max="2" width="13.140625" customWidth="1"/>
    <col min="3" max="3" width="15" customWidth="1"/>
    <col min="4" max="4" width="11.28515625" customWidth="1"/>
    <col min="5" max="5" width="8.7109375" customWidth="1"/>
    <col min="7" max="7" width="44" customWidth="1"/>
    <col min="8" max="8" width="23" customWidth="1"/>
    <col min="9" max="9" width="89.28515625" customWidth="1"/>
    <col min="10" max="19" width="9.140625" style="1"/>
    <col min="20" max="20" width="67.7109375" style="1" customWidth="1"/>
    <col min="21" max="21" width="66.140625" style="1" customWidth="1"/>
    <col min="22" max="49" width="9.140625" style="1"/>
  </cols>
  <sheetData>
    <row r="1" spans="1:10" x14ac:dyDescent="0.25">
      <c r="A1" s="1"/>
      <c r="B1" s="1"/>
      <c r="C1" s="1"/>
      <c r="D1" s="1"/>
      <c r="E1" s="1"/>
      <c r="F1" s="1"/>
      <c r="G1" s="1"/>
      <c r="H1" s="1"/>
      <c r="I1" s="1"/>
    </row>
    <row r="2" spans="1:10" x14ac:dyDescent="0.25">
      <c r="A2" s="1"/>
      <c r="B2" s="1"/>
      <c r="C2" s="1"/>
      <c r="D2" s="1"/>
      <c r="E2" s="1"/>
      <c r="F2" s="1"/>
      <c r="G2" s="1"/>
      <c r="H2" s="1"/>
      <c r="I2" s="1"/>
    </row>
    <row r="3" spans="1:10" x14ac:dyDescent="0.25">
      <c r="A3" s="1"/>
      <c r="B3" s="190" t="s">
        <v>0</v>
      </c>
      <c r="C3" s="190" t="s">
        <v>458</v>
      </c>
      <c r="D3" s="191"/>
      <c r="E3" s="190"/>
      <c r="F3" s="191"/>
      <c r="G3" s="191"/>
      <c r="H3" s="191"/>
      <c r="I3" s="191"/>
    </row>
    <row r="4" spans="1:10" x14ac:dyDescent="0.25">
      <c r="A4" s="1"/>
      <c r="B4" s="592" t="s">
        <v>338</v>
      </c>
      <c r="C4" s="593"/>
      <c r="D4" s="593"/>
      <c r="E4" s="593"/>
      <c r="F4" s="593"/>
      <c r="G4" s="593"/>
      <c r="H4" s="593"/>
      <c r="I4" s="593"/>
    </row>
    <row r="5" spans="1:10" x14ac:dyDescent="0.25">
      <c r="A5" s="1"/>
      <c r="B5" s="593"/>
      <c r="C5" s="593"/>
      <c r="D5" s="593"/>
      <c r="E5" s="593"/>
      <c r="F5" s="593"/>
      <c r="G5" s="593"/>
      <c r="H5" s="593"/>
      <c r="I5" s="593"/>
    </row>
    <row r="6" spans="1:10" x14ac:dyDescent="0.25">
      <c r="A6" s="1"/>
      <c r="B6" s="593"/>
      <c r="C6" s="593"/>
      <c r="D6" s="593"/>
      <c r="E6" s="593"/>
      <c r="F6" s="593"/>
      <c r="G6" s="593"/>
      <c r="H6" s="593"/>
      <c r="I6" s="593"/>
    </row>
    <row r="7" spans="1:10" x14ac:dyDescent="0.25">
      <c r="A7" s="1"/>
      <c r="B7" s="593"/>
      <c r="C7" s="593"/>
      <c r="D7" s="593"/>
      <c r="E7" s="593"/>
      <c r="F7" s="593"/>
      <c r="G7" s="593"/>
      <c r="H7" s="593"/>
      <c r="I7" s="593"/>
    </row>
    <row r="8" spans="1:10" ht="18" customHeight="1" x14ac:dyDescent="0.25">
      <c r="A8" s="1"/>
      <c r="B8" s="297"/>
      <c r="C8" s="297"/>
      <c r="D8" s="297"/>
      <c r="E8" s="297"/>
      <c r="F8" s="297"/>
      <c r="G8" s="297"/>
      <c r="H8" s="297"/>
      <c r="I8" s="297"/>
    </row>
    <row r="9" spans="1:10" x14ac:dyDescent="0.25">
      <c r="A9" s="1"/>
      <c r="B9" s="4"/>
      <c r="C9" s="5"/>
      <c r="D9" s="5"/>
      <c r="E9" s="5"/>
      <c r="F9" s="5"/>
      <c r="G9" s="5"/>
      <c r="H9" s="5"/>
      <c r="I9" s="6"/>
    </row>
    <row r="10" spans="1:10" x14ac:dyDescent="0.25">
      <c r="A10" s="1"/>
      <c r="B10" s="2"/>
      <c r="C10" s="1"/>
      <c r="D10" s="1"/>
      <c r="E10" s="1"/>
      <c r="F10" s="1"/>
      <c r="G10" s="1"/>
      <c r="H10" s="1"/>
      <c r="I10" s="3"/>
    </row>
    <row r="11" spans="1:10" x14ac:dyDescent="0.25">
      <c r="A11" s="1"/>
      <c r="B11" s="2"/>
      <c r="C11" s="1"/>
      <c r="D11" s="1"/>
      <c r="E11" s="1"/>
      <c r="F11" s="1"/>
      <c r="G11" s="1"/>
      <c r="H11" s="1"/>
      <c r="I11" s="3"/>
    </row>
    <row r="12" spans="1:10" x14ac:dyDescent="0.25">
      <c r="A12" s="1"/>
      <c r="B12" s="2"/>
      <c r="C12" s="1"/>
      <c r="D12" s="1"/>
      <c r="E12" s="1"/>
      <c r="F12" s="1"/>
      <c r="G12" s="1"/>
      <c r="H12" s="1"/>
      <c r="I12" s="3"/>
    </row>
    <row r="13" spans="1:10" ht="14.25" customHeight="1" x14ac:dyDescent="0.25">
      <c r="A13" s="1"/>
      <c r="B13" s="2"/>
      <c r="C13" s="1"/>
      <c r="D13" s="1"/>
      <c r="E13" s="1"/>
      <c r="F13" s="1"/>
      <c r="G13" s="1"/>
      <c r="H13" s="1"/>
      <c r="I13" s="3"/>
      <c r="J13" s="7"/>
    </row>
    <row r="14" spans="1:10" ht="19.899999999999999" customHeight="1" x14ac:dyDescent="0.25">
      <c r="A14" s="1"/>
      <c r="B14" s="589" t="s">
        <v>228</v>
      </c>
      <c r="C14" s="590"/>
      <c r="D14" s="590"/>
      <c r="E14" s="590"/>
      <c r="F14" s="590"/>
      <c r="G14" s="590"/>
      <c r="H14" s="590"/>
      <c r="I14" s="591"/>
      <c r="J14" s="7"/>
    </row>
    <row r="15" spans="1:10" ht="19.899999999999999" customHeight="1" x14ac:dyDescent="0.25">
      <c r="A15" s="1"/>
      <c r="B15" s="295"/>
      <c r="C15" s="296"/>
      <c r="D15" s="296"/>
      <c r="E15" s="296"/>
      <c r="F15" s="296"/>
      <c r="G15" s="296"/>
      <c r="H15" s="296"/>
      <c r="I15" s="103"/>
      <c r="J15" s="7"/>
    </row>
    <row r="16" spans="1:10" x14ac:dyDescent="0.25">
      <c r="A16" s="1"/>
      <c r="B16" s="192" t="s">
        <v>381</v>
      </c>
      <c r="C16" s="296"/>
      <c r="D16" s="296"/>
      <c r="E16" s="296"/>
      <c r="F16" s="296"/>
      <c r="G16" s="296"/>
      <c r="H16" s="296"/>
      <c r="I16" s="103"/>
    </row>
    <row r="17" spans="1:9" x14ac:dyDescent="0.25">
      <c r="A17" s="1"/>
      <c r="B17" s="192" t="s">
        <v>446</v>
      </c>
      <c r="C17" s="296"/>
      <c r="D17" s="296"/>
      <c r="E17" s="296"/>
      <c r="F17" s="296"/>
      <c r="G17" s="296"/>
      <c r="H17" s="296"/>
      <c r="I17" s="103"/>
    </row>
    <row r="18" spans="1:9" x14ac:dyDescent="0.25">
      <c r="A18" s="1"/>
      <c r="B18" s="192" t="s">
        <v>391</v>
      </c>
      <c r="C18" s="296"/>
      <c r="D18" s="296"/>
      <c r="E18" s="296"/>
      <c r="F18" s="296"/>
      <c r="G18" s="296"/>
      <c r="H18" s="296"/>
      <c r="I18" s="103"/>
    </row>
    <row r="19" spans="1:9" x14ac:dyDescent="0.25">
      <c r="A19" s="1"/>
      <c r="B19" s="193"/>
      <c r="C19" s="32"/>
      <c r="D19" s="32"/>
      <c r="E19" s="32"/>
      <c r="F19" s="32"/>
      <c r="G19" s="32"/>
      <c r="H19" s="32"/>
      <c r="I19" s="194"/>
    </row>
    <row r="20" spans="1:9" x14ac:dyDescent="0.25">
      <c r="A20" s="1"/>
      <c r="B20" s="594" t="s">
        <v>229</v>
      </c>
      <c r="C20" s="595"/>
      <c r="D20" s="595"/>
      <c r="E20" s="595"/>
      <c r="F20" s="595"/>
      <c r="G20" s="595"/>
      <c r="H20" s="595"/>
      <c r="I20" s="596"/>
    </row>
    <row r="21" spans="1:9" x14ac:dyDescent="0.25">
      <c r="A21" s="1"/>
      <c r="B21" s="10" t="s">
        <v>4</v>
      </c>
      <c r="C21" s="8"/>
      <c r="D21" s="8"/>
      <c r="E21" s="8" t="s">
        <v>230</v>
      </c>
      <c r="F21" s="8"/>
      <c r="G21" s="8"/>
      <c r="H21" s="8"/>
      <c r="I21" s="11" t="s">
        <v>1</v>
      </c>
    </row>
    <row r="22" spans="1:9" x14ac:dyDescent="0.25">
      <c r="A22" s="1"/>
      <c r="B22" s="2"/>
      <c r="C22" s="1"/>
      <c r="D22" s="1"/>
      <c r="E22" s="1"/>
      <c r="F22" s="1"/>
      <c r="G22" s="1"/>
      <c r="H22" s="1"/>
      <c r="I22" s="9"/>
    </row>
    <row r="23" spans="1:9" x14ac:dyDescent="0.25">
      <c r="A23" s="1"/>
      <c r="B23" s="10" t="s">
        <v>231</v>
      </c>
      <c r="C23" s="8"/>
      <c r="D23" s="8"/>
      <c r="E23" s="8" t="s">
        <v>2</v>
      </c>
      <c r="F23" s="8"/>
      <c r="G23" s="8"/>
      <c r="H23" s="8"/>
      <c r="I23" s="323" t="s">
        <v>3</v>
      </c>
    </row>
    <row r="24" spans="1:9" x14ac:dyDescent="0.25">
      <c r="A24" s="1"/>
      <c r="B24" s="10"/>
      <c r="C24" s="8"/>
      <c r="D24" s="8"/>
      <c r="E24" s="8"/>
      <c r="F24" s="8"/>
      <c r="G24" s="8"/>
      <c r="H24" s="8"/>
      <c r="I24" s="11"/>
    </row>
    <row r="25" spans="1:9" x14ac:dyDescent="0.25">
      <c r="A25" s="1"/>
      <c r="B25" s="10" t="s">
        <v>232</v>
      </c>
      <c r="C25" s="8"/>
      <c r="D25" s="8"/>
      <c r="E25" s="8" t="s">
        <v>233</v>
      </c>
      <c r="F25" s="8"/>
      <c r="G25" s="8"/>
      <c r="H25" s="8"/>
      <c r="I25" s="11" t="s">
        <v>226</v>
      </c>
    </row>
    <row r="26" spans="1:9" s="1" customFormat="1" ht="15.75" thickBot="1" x14ac:dyDescent="0.3">
      <c r="B26" s="10"/>
      <c r="C26" s="8"/>
      <c r="D26" s="8"/>
      <c r="E26" s="8"/>
      <c r="F26" s="8"/>
      <c r="G26" s="8"/>
      <c r="H26" s="8"/>
      <c r="I26" s="11"/>
    </row>
    <row r="27" spans="1:9" s="1" customFormat="1" ht="15.75" thickBot="1" x14ac:dyDescent="0.3">
      <c r="B27" s="10" t="s">
        <v>365</v>
      </c>
      <c r="C27" s="8"/>
      <c r="D27" s="8"/>
      <c r="E27" s="8" t="s">
        <v>234</v>
      </c>
      <c r="F27" s="8"/>
      <c r="G27" s="8"/>
      <c r="H27" s="8"/>
      <c r="I27" s="195" t="s">
        <v>226</v>
      </c>
    </row>
    <row r="28" spans="1:9" s="1" customFormat="1" x14ac:dyDescent="0.25">
      <c r="B28" s="10"/>
      <c r="C28" s="8"/>
      <c r="D28" s="8"/>
      <c r="E28" s="8"/>
      <c r="F28" s="8"/>
      <c r="G28" s="8"/>
      <c r="H28" s="8"/>
      <c r="I28" s="11"/>
    </row>
    <row r="29" spans="1:9" s="1" customFormat="1" x14ac:dyDescent="0.25">
      <c r="B29" s="196" t="s">
        <v>235</v>
      </c>
      <c r="C29" s="197"/>
      <c r="D29" s="197"/>
      <c r="E29" s="197" t="s">
        <v>447</v>
      </c>
      <c r="F29" s="197"/>
      <c r="G29" s="197"/>
      <c r="H29" s="197"/>
      <c r="I29" s="198" t="s">
        <v>88</v>
      </c>
    </row>
    <row r="30" spans="1:9" s="1" customFormat="1" x14ac:dyDescent="0.25">
      <c r="I30" s="187"/>
    </row>
    <row r="31" spans="1:9" s="1" customFormat="1" x14ac:dyDescent="0.25">
      <c r="B31" s="589" t="s">
        <v>337</v>
      </c>
      <c r="C31" s="590"/>
      <c r="D31" s="590"/>
      <c r="E31" s="590"/>
      <c r="F31" s="590"/>
      <c r="G31" s="590"/>
      <c r="H31" s="590"/>
      <c r="I31" s="591"/>
    </row>
    <row r="32" spans="1:9" s="1" customFormat="1" x14ac:dyDescent="0.25">
      <c r="B32" s="10" t="s">
        <v>236</v>
      </c>
      <c r="D32" s="599"/>
      <c r="E32" s="599"/>
      <c r="F32" s="599"/>
      <c r="G32" s="321"/>
      <c r="H32" s="321"/>
      <c r="I32" s="322"/>
    </row>
    <row r="33" spans="2:9" s="1" customFormat="1" x14ac:dyDescent="0.25">
      <c r="B33" s="10" t="s">
        <v>448</v>
      </c>
      <c r="D33" s="599"/>
      <c r="E33" s="599"/>
      <c r="F33" s="599"/>
      <c r="G33" s="321"/>
      <c r="H33" s="321"/>
      <c r="I33" s="322"/>
    </row>
    <row r="34" spans="2:9" s="1" customFormat="1" x14ac:dyDescent="0.25">
      <c r="B34" s="10" t="s">
        <v>237</v>
      </c>
      <c r="D34" s="599"/>
      <c r="E34" s="599"/>
      <c r="F34" s="599"/>
      <c r="G34" s="321"/>
      <c r="H34" s="321"/>
      <c r="I34" s="322"/>
    </row>
    <row r="35" spans="2:9" s="1" customFormat="1" x14ac:dyDescent="0.25">
      <c r="B35" s="10" t="s">
        <v>238</v>
      </c>
      <c r="D35" s="599"/>
      <c r="E35" s="599"/>
      <c r="F35" s="599"/>
      <c r="G35" s="321"/>
      <c r="H35" s="321"/>
      <c r="I35" s="322"/>
    </row>
    <row r="36" spans="2:9" s="1" customFormat="1" x14ac:dyDescent="0.25">
      <c r="B36" s="18" t="s">
        <v>239</v>
      </c>
      <c r="C36" s="12"/>
      <c r="D36" s="597"/>
      <c r="E36" s="597"/>
      <c r="F36" s="597"/>
      <c r="G36" s="597"/>
      <c r="H36" s="597"/>
      <c r="I36" s="598"/>
    </row>
    <row r="37" spans="2:9" s="1" customFormat="1" x14ac:dyDescent="0.25">
      <c r="B37" s="14"/>
    </row>
    <row r="38" spans="2:9" s="1" customFormat="1" x14ac:dyDescent="0.25">
      <c r="B38" s="589" t="s">
        <v>359</v>
      </c>
      <c r="C38" s="590"/>
      <c r="D38" s="590"/>
      <c r="E38" s="590"/>
      <c r="F38" s="590"/>
      <c r="G38" s="590"/>
      <c r="H38" s="590"/>
      <c r="I38" s="591"/>
    </row>
    <row r="39" spans="2:9" s="1" customFormat="1" x14ac:dyDescent="0.25">
      <c r="B39" s="311"/>
      <c r="C39" s="321"/>
      <c r="D39" s="321"/>
      <c r="E39" s="321"/>
      <c r="F39" s="321"/>
      <c r="G39" s="321"/>
      <c r="H39" s="321"/>
      <c r="I39" s="322"/>
    </row>
    <row r="40" spans="2:9" s="1" customFormat="1" x14ac:dyDescent="0.25">
      <c r="B40" s="311"/>
      <c r="C40" s="321"/>
      <c r="D40" s="321"/>
      <c r="E40" s="321"/>
      <c r="F40" s="321"/>
      <c r="G40" s="321"/>
      <c r="H40" s="321"/>
      <c r="I40" s="322"/>
    </row>
    <row r="41" spans="2:9" s="1" customFormat="1" x14ac:dyDescent="0.25">
      <c r="B41" s="311"/>
      <c r="C41" s="321"/>
      <c r="D41" s="321"/>
      <c r="E41" s="321"/>
      <c r="F41" s="321"/>
      <c r="G41" s="321"/>
      <c r="H41" s="321"/>
      <c r="I41" s="322"/>
    </row>
    <row r="42" spans="2:9" s="1" customFormat="1" x14ac:dyDescent="0.25">
      <c r="B42" s="311"/>
      <c r="C42" s="321"/>
      <c r="D42" s="321"/>
      <c r="E42" s="321"/>
      <c r="F42" s="321"/>
      <c r="G42" s="321"/>
      <c r="H42" s="321"/>
      <c r="I42" s="322"/>
    </row>
    <row r="43" spans="2:9" s="1" customFormat="1" x14ac:dyDescent="0.25">
      <c r="B43" s="311"/>
      <c r="C43" s="321"/>
      <c r="D43" s="321"/>
      <c r="E43" s="321"/>
      <c r="F43" s="321"/>
      <c r="G43" s="321"/>
      <c r="H43" s="321"/>
      <c r="I43" s="322"/>
    </row>
    <row r="44" spans="2:9" s="1" customFormat="1" x14ac:dyDescent="0.25">
      <c r="B44" s="311"/>
      <c r="C44" s="321"/>
      <c r="D44" s="321"/>
      <c r="E44" s="321"/>
      <c r="F44" s="321"/>
      <c r="G44" s="321"/>
      <c r="H44" s="321"/>
      <c r="I44" s="322"/>
    </row>
    <row r="45" spans="2:9" s="1" customFormat="1" x14ac:dyDescent="0.25">
      <c r="B45" s="311"/>
      <c r="C45" s="95"/>
      <c r="D45" s="95"/>
      <c r="E45" s="95"/>
      <c r="F45" s="95"/>
      <c r="G45" s="95"/>
      <c r="H45" s="95"/>
      <c r="I45" s="180"/>
    </row>
    <row r="46" spans="2:9" s="1" customFormat="1" x14ac:dyDescent="0.25">
      <c r="B46" s="311"/>
      <c r="C46" s="95"/>
      <c r="D46" s="95"/>
      <c r="E46" s="95"/>
      <c r="F46" s="95"/>
      <c r="G46" s="95"/>
      <c r="H46" s="95"/>
      <c r="I46" s="180"/>
    </row>
    <row r="47" spans="2:9" s="1" customFormat="1" x14ac:dyDescent="0.25">
      <c r="B47" s="311"/>
      <c r="C47" s="95"/>
      <c r="D47" s="95"/>
      <c r="E47" s="95"/>
      <c r="F47" s="95"/>
      <c r="G47" s="95"/>
      <c r="H47" s="95"/>
      <c r="I47" s="180"/>
    </row>
    <row r="48" spans="2:9" s="1" customFormat="1" x14ac:dyDescent="0.25">
      <c r="B48" s="311"/>
      <c r="C48" s="95"/>
      <c r="D48" s="95"/>
      <c r="E48" s="95"/>
      <c r="F48" s="95"/>
      <c r="G48" s="95"/>
      <c r="H48" s="95"/>
      <c r="I48" s="180"/>
    </row>
    <row r="49" spans="2:9" s="1" customFormat="1" x14ac:dyDescent="0.25">
      <c r="B49" s="311"/>
      <c r="C49" s="95"/>
      <c r="D49" s="95"/>
      <c r="E49" s="95"/>
      <c r="F49" s="95"/>
      <c r="G49" s="95"/>
      <c r="H49" s="95"/>
      <c r="I49" s="180"/>
    </row>
    <row r="50" spans="2:9" s="1" customFormat="1" x14ac:dyDescent="0.25">
      <c r="B50" s="311"/>
      <c r="C50" s="95"/>
      <c r="D50" s="95"/>
      <c r="E50" s="95"/>
      <c r="F50" s="95"/>
      <c r="G50" s="95"/>
      <c r="H50" s="95"/>
      <c r="I50" s="180"/>
    </row>
    <row r="51" spans="2:9" s="1" customFormat="1" x14ac:dyDescent="0.25">
      <c r="B51" s="311"/>
      <c r="C51" s="95"/>
      <c r="D51" s="95"/>
      <c r="E51" s="95"/>
      <c r="F51" s="95"/>
      <c r="G51" s="95"/>
      <c r="H51" s="95"/>
      <c r="I51" s="180"/>
    </row>
    <row r="52" spans="2:9" s="1" customFormat="1" x14ac:dyDescent="0.25">
      <c r="B52" s="311"/>
      <c r="C52" s="95"/>
      <c r="D52" s="95"/>
      <c r="E52" s="95"/>
      <c r="F52" s="95"/>
      <c r="G52" s="95"/>
      <c r="H52" s="95"/>
      <c r="I52" s="180"/>
    </row>
    <row r="53" spans="2:9" s="1" customFormat="1" x14ac:dyDescent="0.25">
      <c r="B53" s="311"/>
      <c r="C53" s="95"/>
      <c r="D53" s="95"/>
      <c r="E53" s="95"/>
      <c r="F53" s="95"/>
      <c r="G53" s="95"/>
      <c r="H53" s="95"/>
      <c r="I53" s="180"/>
    </row>
    <row r="54" spans="2:9" s="1" customFormat="1" x14ac:dyDescent="0.25">
      <c r="B54" s="311"/>
      <c r="C54" s="95"/>
      <c r="D54" s="95"/>
      <c r="E54" s="95"/>
      <c r="F54" s="95"/>
      <c r="G54" s="95"/>
      <c r="H54" s="95"/>
      <c r="I54" s="180"/>
    </row>
    <row r="55" spans="2:9" s="1" customFormat="1" x14ac:dyDescent="0.25">
      <c r="B55" s="311"/>
      <c r="C55" s="95"/>
      <c r="D55" s="95"/>
      <c r="E55" s="95"/>
      <c r="F55" s="95"/>
      <c r="G55" s="95"/>
      <c r="H55" s="95"/>
      <c r="I55" s="180"/>
    </row>
    <row r="56" spans="2:9" s="1" customFormat="1" x14ac:dyDescent="0.25">
      <c r="B56" s="311"/>
      <c r="C56" s="95"/>
      <c r="D56" s="95"/>
      <c r="E56" s="95"/>
      <c r="F56" s="95"/>
      <c r="G56" s="95"/>
      <c r="H56" s="95"/>
      <c r="I56" s="180"/>
    </row>
    <row r="57" spans="2:9" s="1" customFormat="1" x14ac:dyDescent="0.25">
      <c r="B57" s="311"/>
      <c r="C57" s="95"/>
      <c r="D57" s="95"/>
      <c r="E57" s="95"/>
      <c r="F57" s="95"/>
      <c r="G57" s="95"/>
      <c r="H57" s="95"/>
      <c r="I57" s="180"/>
    </row>
    <row r="58" spans="2:9" s="1" customFormat="1" x14ac:dyDescent="0.25">
      <c r="B58" s="311"/>
      <c r="C58" s="95"/>
      <c r="D58" s="95"/>
      <c r="E58" s="95"/>
      <c r="F58" s="95"/>
      <c r="G58" s="95"/>
      <c r="H58" s="95"/>
      <c r="I58" s="180"/>
    </row>
    <row r="59" spans="2:9" s="1" customFormat="1" x14ac:dyDescent="0.25">
      <c r="B59" s="311"/>
      <c r="C59" s="95"/>
      <c r="D59" s="95"/>
      <c r="E59" s="95"/>
      <c r="F59" s="95"/>
      <c r="G59" s="95"/>
      <c r="H59" s="95"/>
      <c r="I59" s="180"/>
    </row>
    <row r="60" spans="2:9" s="1" customFormat="1" x14ac:dyDescent="0.25">
      <c r="B60" s="311"/>
      <c r="C60" s="95"/>
      <c r="D60" s="95"/>
      <c r="E60" s="95"/>
      <c r="F60" s="95"/>
      <c r="G60" s="95"/>
      <c r="H60" s="95"/>
      <c r="I60" s="180"/>
    </row>
    <row r="61" spans="2:9" s="1" customFormat="1" x14ac:dyDescent="0.25">
      <c r="B61" s="311"/>
      <c r="C61" s="95"/>
      <c r="D61" s="95"/>
      <c r="E61" s="95"/>
      <c r="F61" s="95"/>
      <c r="G61" s="95"/>
      <c r="H61" s="95"/>
      <c r="I61" s="180"/>
    </row>
    <row r="62" spans="2:9" s="1" customFormat="1" x14ac:dyDescent="0.25">
      <c r="B62" s="311"/>
      <c r="C62" s="95"/>
      <c r="D62" s="95"/>
      <c r="E62" s="95"/>
      <c r="F62" s="95"/>
      <c r="G62" s="95"/>
      <c r="H62" s="95"/>
      <c r="I62" s="180"/>
    </row>
    <row r="63" spans="2:9" s="1" customFormat="1" x14ac:dyDescent="0.25">
      <c r="B63" s="311"/>
      <c r="C63" s="95"/>
      <c r="D63" s="95"/>
      <c r="E63" s="95"/>
      <c r="F63" s="95"/>
      <c r="G63" s="95"/>
      <c r="H63" s="95"/>
      <c r="I63" s="180"/>
    </row>
    <row r="64" spans="2:9" s="1" customFormat="1" x14ac:dyDescent="0.25">
      <c r="B64" s="311"/>
      <c r="C64" s="95"/>
      <c r="D64" s="95"/>
      <c r="E64" s="95"/>
      <c r="F64" s="95"/>
      <c r="G64" s="95"/>
      <c r="H64" s="95"/>
      <c r="I64" s="180"/>
    </row>
    <row r="65" spans="2:9" s="1" customFormat="1" x14ac:dyDescent="0.25">
      <c r="B65" s="311"/>
      <c r="C65" s="95"/>
      <c r="D65" s="95"/>
      <c r="E65" s="95"/>
      <c r="F65" s="95"/>
      <c r="G65" s="95"/>
      <c r="H65" s="95"/>
      <c r="I65" s="180"/>
    </row>
    <row r="66" spans="2:9" s="1" customFormat="1" x14ac:dyDescent="0.25">
      <c r="B66" s="311"/>
      <c r="C66" s="95"/>
      <c r="D66" s="95"/>
      <c r="E66" s="95"/>
      <c r="F66" s="95"/>
      <c r="G66" s="95"/>
      <c r="H66" s="95"/>
      <c r="I66" s="180"/>
    </row>
    <row r="67" spans="2:9" s="1" customFormat="1" x14ac:dyDescent="0.25">
      <c r="B67" s="311"/>
      <c r="C67" s="95"/>
      <c r="D67" s="95"/>
      <c r="E67" s="95"/>
      <c r="F67" s="95"/>
      <c r="G67" s="95"/>
      <c r="H67" s="95"/>
      <c r="I67" s="180"/>
    </row>
    <row r="68" spans="2:9" s="1" customFormat="1" x14ac:dyDescent="0.25">
      <c r="B68" s="311"/>
      <c r="C68" s="95"/>
      <c r="D68" s="95"/>
      <c r="E68" s="95"/>
      <c r="F68" s="95"/>
      <c r="G68" s="95"/>
      <c r="H68" s="95"/>
      <c r="I68" s="180"/>
    </row>
    <row r="69" spans="2:9" s="1" customFormat="1" x14ac:dyDescent="0.25">
      <c r="B69" s="312"/>
      <c r="C69" s="313"/>
      <c r="D69" s="313"/>
      <c r="E69" s="313"/>
      <c r="F69" s="313"/>
      <c r="G69" s="313"/>
      <c r="H69" s="313"/>
      <c r="I69" s="314"/>
    </row>
    <row r="70" spans="2:9" s="1" customFormat="1" x14ac:dyDescent="0.25"/>
    <row r="71" spans="2:9" s="1" customFormat="1" x14ac:dyDescent="0.25"/>
    <row r="72" spans="2:9" s="1" customFormat="1" x14ac:dyDescent="0.25"/>
    <row r="73" spans="2:9" s="1" customFormat="1" x14ac:dyDescent="0.25"/>
    <row r="74" spans="2:9" s="1" customFormat="1" x14ac:dyDescent="0.25"/>
    <row r="75" spans="2:9" s="1" customFormat="1" x14ac:dyDescent="0.25"/>
    <row r="76" spans="2:9" s="1" customFormat="1" x14ac:dyDescent="0.25"/>
    <row r="77" spans="2:9" s="1" customFormat="1" x14ac:dyDescent="0.25"/>
    <row r="78" spans="2:9" s="1" customFormat="1" x14ac:dyDescent="0.25"/>
    <row r="79" spans="2:9" s="1" customFormat="1" x14ac:dyDescent="0.25"/>
    <row r="80" spans="2:9"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sheetData>
  <sheetProtection algorithmName="SHA-512" hashValue="4LYhtnQOvMDU99txbIex8lsrH6HRJSyx69fC7S1Qba5p0wcZ+SBZ1zh6c5VFlW/6P3cuidDmaBn1t/svNFaSjw==" saltValue="fvnkw+GdAvxOGhUoBrJjQA==" spinCount="100000" sheet="1" objects="1" scenarios="1"/>
  <mergeCells count="10">
    <mergeCell ref="B38:I38"/>
    <mergeCell ref="B4:I7"/>
    <mergeCell ref="B14:I14"/>
    <mergeCell ref="B20:I20"/>
    <mergeCell ref="D36:I36"/>
    <mergeCell ref="B31:I31"/>
    <mergeCell ref="D32:F32"/>
    <mergeCell ref="D33:F33"/>
    <mergeCell ref="D34:F34"/>
    <mergeCell ref="D35:F3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17DE8-397D-49BE-B8F2-5CF3FB782651}">
  <sheetPr codeName="Sheet2">
    <tabColor rgb="FFFFCC00"/>
  </sheetPr>
  <dimension ref="A1:CF231"/>
  <sheetViews>
    <sheetView tabSelected="1" zoomScale="80" zoomScaleNormal="80" workbookViewId="0">
      <selection activeCell="J27" sqref="J27"/>
    </sheetView>
  </sheetViews>
  <sheetFormatPr defaultRowHeight="15" x14ac:dyDescent="0.25"/>
  <cols>
    <col min="2" max="2" width="69.7109375" customWidth="1"/>
    <col min="3" max="3" width="23.42578125" customWidth="1"/>
    <col min="4" max="4" width="5.28515625" customWidth="1"/>
    <col min="5" max="5" width="24.42578125" bestFit="1" customWidth="1"/>
    <col min="6" max="6" width="17" customWidth="1"/>
    <col min="7" max="7" width="24.85546875" customWidth="1"/>
    <col min="8" max="8" width="23" customWidth="1"/>
    <col min="9" max="9" width="27.42578125" customWidth="1"/>
    <col min="10" max="10" width="22.85546875" customWidth="1"/>
    <col min="11" max="11" width="15.28515625" customWidth="1"/>
    <col min="12" max="12" width="16.42578125" customWidth="1"/>
    <col min="13" max="13" width="17.5703125" customWidth="1"/>
    <col min="14" max="14" width="16.42578125" customWidth="1"/>
    <col min="15" max="15" width="17.28515625" customWidth="1"/>
    <col min="16" max="16" width="17.42578125" customWidth="1"/>
    <col min="17" max="17" width="16.28515625" style="1" customWidth="1"/>
    <col min="18" max="18" width="18.85546875" style="1" customWidth="1"/>
    <col min="19" max="19" width="16.7109375" style="1" customWidth="1"/>
    <col min="20" max="20" width="18.140625" style="1" customWidth="1"/>
    <col min="21" max="21" width="15.5703125" style="1" bestFit="1" customWidth="1"/>
    <col min="22" max="22" width="12" style="1" customWidth="1"/>
    <col min="23" max="28" width="9.140625" style="1"/>
  </cols>
  <sheetData>
    <row r="1" spans="1:84" x14ac:dyDescent="0.25">
      <c r="A1" s="1"/>
      <c r="B1" s="1"/>
      <c r="C1" s="1"/>
      <c r="D1" s="1"/>
      <c r="E1" s="1"/>
      <c r="F1" s="1"/>
      <c r="G1" s="1"/>
      <c r="H1" s="1"/>
      <c r="I1" s="1"/>
      <c r="J1" s="1"/>
      <c r="K1" s="1"/>
      <c r="L1" s="1"/>
      <c r="M1" s="1"/>
      <c r="N1" s="1"/>
      <c r="O1" s="1"/>
      <c r="P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row>
    <row r="2" spans="1:84" ht="14.25" customHeight="1" x14ac:dyDescent="0.25">
      <c r="A2" s="1"/>
      <c r="B2" s="621" t="s">
        <v>345</v>
      </c>
      <c r="C2" s="621"/>
      <c r="D2" s="621"/>
      <c r="E2" s="621"/>
      <c r="F2" s="621"/>
      <c r="G2" s="621"/>
      <c r="H2" s="621"/>
      <c r="I2" s="621"/>
      <c r="J2" s="621"/>
      <c r="K2" s="1"/>
      <c r="L2" s="1"/>
      <c r="M2" s="1"/>
      <c r="N2" s="1"/>
      <c r="O2" s="1"/>
      <c r="P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row>
    <row r="3" spans="1:84" ht="14.25" customHeight="1" x14ac:dyDescent="0.25">
      <c r="A3" s="1"/>
      <c r="B3" s="621"/>
      <c r="C3" s="621"/>
      <c r="D3" s="621"/>
      <c r="E3" s="621"/>
      <c r="F3" s="621"/>
      <c r="G3" s="621"/>
      <c r="H3" s="621"/>
      <c r="I3" s="621"/>
      <c r="J3" s="621"/>
      <c r="K3" s="1"/>
      <c r="L3" s="1"/>
      <c r="M3" s="1"/>
      <c r="N3" s="1"/>
      <c r="O3" s="1"/>
      <c r="P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row>
    <row r="4" spans="1:84" ht="14.25" customHeight="1" x14ac:dyDescent="0.25">
      <c r="A4" s="1"/>
      <c r="B4" s="621"/>
      <c r="C4" s="621"/>
      <c r="D4" s="621"/>
      <c r="E4" s="621"/>
      <c r="F4" s="621"/>
      <c r="G4" s="621"/>
      <c r="H4" s="621"/>
      <c r="I4" s="621"/>
      <c r="J4" s="621"/>
      <c r="K4" s="1"/>
      <c r="L4" s="1"/>
      <c r="M4" s="1"/>
      <c r="N4" s="1"/>
      <c r="O4" s="1"/>
      <c r="P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row>
    <row r="5" spans="1:84" ht="19.5" customHeight="1" x14ac:dyDescent="0.25">
      <c r="A5" s="1"/>
      <c r="B5" s="99">
        <f>IF(C25&lt;=14000,
C25*10.5%,
IF(C25&lt;=48000,
(C25-14000)*17.5%+1470,
IF(C25&lt;=70000,
(C25-48000)*30%+7420,
IF(C25&lt;=180000,
(C25-70000)*33%+14020,
(C25-180000)*39%+50320))))</f>
        <v>23920</v>
      </c>
      <c r="C5" s="99">
        <f>IF(C26&lt;=14000,
C26*10.5%,
IF(C26&lt;=48000,
(C26-14000)*17.5%+1470,
IF(C26&lt;=70000,
(C26-48000)*30%+7420,
IF(C26&lt;=180000,
(C26-70000)*33%+14020,
(C26-180000)*39%+50320))))</f>
        <v>0</v>
      </c>
      <c r="D5" s="48"/>
      <c r="E5" s="99">
        <f>IF(C27&lt;=14000,
C27*10.5%,
IF(C27&lt;=48000,
(C27-14000)*17.5%+1470,
IF(C27&lt;=70000,
(C27-48000)*30%+7420,
IF(C27&lt;=180000,
(C27-70000)*33%+14020,
(C27-180000)*39%+50320))))</f>
        <v>0</v>
      </c>
      <c r="F5" s="99">
        <f>IF(C28&lt;=14000,
C28*10.5%,
IF(C28&lt;=48000,
(C28-14000)*17.5%+1470,
IF(C28&lt;=70000,
(C28-48000)*30%+7420,
IF(C28&lt;=180000,
(C28-70000)*33%+14020,
(C28-180000)*39%+50320))))</f>
        <v>0</v>
      </c>
      <c r="G5" s="48"/>
      <c r="H5" s="48"/>
      <c r="I5" s="201"/>
      <c r="J5" s="1"/>
      <c r="K5" s="1"/>
      <c r="L5" s="1"/>
      <c r="M5" s="1"/>
      <c r="N5" s="1"/>
      <c r="O5" s="1"/>
      <c r="P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9.5" customHeight="1" x14ac:dyDescent="0.25">
      <c r="A6" s="1"/>
      <c r="B6" s="203" t="s">
        <v>322</v>
      </c>
      <c r="C6" s="5"/>
      <c r="D6" s="5"/>
      <c r="E6" s="5"/>
      <c r="F6" s="5"/>
      <c r="G6" s="5"/>
      <c r="H6" s="5"/>
      <c r="I6" s="5"/>
      <c r="J6" s="6"/>
      <c r="K6" s="1"/>
      <c r="L6" s="1"/>
      <c r="M6" s="1"/>
      <c r="N6" s="1"/>
      <c r="O6" s="1"/>
      <c r="P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x14ac:dyDescent="0.25">
      <c r="A7" s="1"/>
      <c r="B7" s="45" t="s">
        <v>334</v>
      </c>
      <c r="C7" s="1"/>
      <c r="D7" s="1"/>
      <c r="E7" s="1"/>
      <c r="F7" s="1"/>
      <c r="G7" s="1"/>
      <c r="H7" s="1"/>
      <c r="I7" s="1"/>
      <c r="J7" s="3"/>
      <c r="K7" s="1"/>
      <c r="L7" s="1"/>
      <c r="M7" s="1"/>
      <c r="N7" s="1"/>
      <c r="O7" s="1"/>
      <c r="P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row>
    <row r="8" spans="1:84" x14ac:dyDescent="0.25">
      <c r="A8" s="1"/>
      <c r="B8" s="45" t="s">
        <v>335</v>
      </c>
      <c r="C8" s="1"/>
      <c r="D8" s="1"/>
      <c r="E8" s="1"/>
      <c r="F8" s="1"/>
      <c r="G8" s="1"/>
      <c r="H8" s="1"/>
      <c r="I8" s="1"/>
      <c r="J8" s="3"/>
      <c r="K8" s="1"/>
      <c r="L8" s="1"/>
      <c r="M8" s="1"/>
      <c r="N8" s="1"/>
      <c r="O8" s="1"/>
      <c r="P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row>
    <row r="9" spans="1:84" ht="19.5" customHeight="1" x14ac:dyDescent="0.25">
      <c r="A9" s="1"/>
      <c r="B9" s="45"/>
      <c r="C9" s="1"/>
      <c r="D9" s="1"/>
      <c r="E9" s="1"/>
      <c r="F9" s="1"/>
      <c r="H9" s="1"/>
      <c r="I9" s="1"/>
      <c r="J9" s="3"/>
      <c r="K9" s="1"/>
      <c r="L9" s="1"/>
      <c r="M9" s="1"/>
      <c r="N9" s="1"/>
      <c r="O9" s="1"/>
      <c r="P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row>
    <row r="10" spans="1:84" x14ac:dyDescent="0.25">
      <c r="A10" s="1"/>
      <c r="B10" s="45" t="s">
        <v>333</v>
      </c>
      <c r="C10" s="1"/>
      <c r="D10" s="1"/>
      <c r="E10" s="1"/>
      <c r="F10" s="1"/>
      <c r="G10" s="1"/>
      <c r="H10" s="1"/>
      <c r="I10" s="1"/>
      <c r="J10" s="3"/>
      <c r="K10" s="1"/>
      <c r="L10" s="1"/>
      <c r="M10" s="1"/>
      <c r="N10" s="1"/>
      <c r="O10" s="1"/>
      <c r="P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row>
    <row r="11" spans="1:84" x14ac:dyDescent="0.25">
      <c r="A11" s="1"/>
      <c r="B11" s="204" t="s">
        <v>336</v>
      </c>
      <c r="C11" s="1"/>
      <c r="D11" s="1"/>
      <c r="E11" s="1"/>
      <c r="F11" s="1"/>
      <c r="G11" s="1"/>
      <c r="H11" s="1"/>
      <c r="I11" s="1"/>
      <c r="J11" s="3"/>
      <c r="K11" s="1"/>
      <c r="L11" s="1"/>
      <c r="M11" s="1"/>
      <c r="N11" s="1"/>
      <c r="O11" s="1"/>
      <c r="P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row>
    <row r="12" spans="1:84" x14ac:dyDescent="0.25">
      <c r="A12" s="1"/>
      <c r="B12" s="204" t="s">
        <v>342</v>
      </c>
      <c r="C12" s="1"/>
      <c r="D12" s="1"/>
      <c r="E12" s="1"/>
      <c r="F12" s="1"/>
      <c r="G12" s="1"/>
      <c r="H12" s="1"/>
      <c r="I12" s="1"/>
      <c r="J12" s="3"/>
      <c r="K12" s="1"/>
      <c r="L12" s="1"/>
      <c r="M12" s="1"/>
      <c r="N12" s="1"/>
      <c r="O12" s="1"/>
      <c r="P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row>
    <row r="13" spans="1:84" x14ac:dyDescent="0.25">
      <c r="A13" s="1"/>
      <c r="B13" s="205"/>
      <c r="C13" s="12"/>
      <c r="D13" s="12"/>
      <c r="E13" s="12"/>
      <c r="F13" s="12"/>
      <c r="G13" s="12"/>
      <c r="H13" s="12"/>
      <c r="I13" s="12"/>
      <c r="J13" s="16"/>
      <c r="K13" s="1"/>
      <c r="L13" s="1"/>
      <c r="M13" s="1"/>
      <c r="N13" s="1"/>
      <c r="O13" s="1"/>
      <c r="P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row>
    <row r="14" spans="1:84" x14ac:dyDescent="0.25">
      <c r="A14" s="1"/>
      <c r="B14" s="1"/>
      <c r="C14" s="1"/>
      <c r="D14" s="1"/>
      <c r="E14" s="1"/>
      <c r="F14" s="1"/>
      <c r="G14" s="1"/>
      <c r="H14" s="1"/>
      <c r="I14" s="1"/>
      <c r="J14" s="1"/>
      <c r="K14" s="1"/>
      <c r="L14" s="1"/>
      <c r="M14" s="1"/>
      <c r="N14" s="1"/>
      <c r="O14" s="1"/>
      <c r="P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row>
    <row r="15" spans="1:84" ht="15.75" thickBot="1" x14ac:dyDescent="0.3">
      <c r="A15" s="1"/>
      <c r="B15" s="202" t="s">
        <v>240</v>
      </c>
      <c r="C15" s="1"/>
      <c r="D15" s="1"/>
      <c r="E15" s="1"/>
      <c r="F15" s="1"/>
      <c r="G15" s="1"/>
      <c r="H15" s="1"/>
      <c r="I15" s="1"/>
      <c r="J15" s="1"/>
      <c r="K15" s="1"/>
      <c r="L15" s="1"/>
      <c r="M15" s="1"/>
      <c r="N15" s="1"/>
      <c r="O15" s="1"/>
      <c r="P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row>
    <row r="16" spans="1:84" ht="15.75" x14ac:dyDescent="0.25">
      <c r="A16" s="1"/>
      <c r="B16" s="1"/>
      <c r="C16" s="1"/>
      <c r="D16" s="1"/>
      <c r="E16" s="1"/>
      <c r="F16" s="1"/>
      <c r="G16" s="624" t="s">
        <v>232</v>
      </c>
      <c r="H16" s="625"/>
      <c r="I16" s="625"/>
      <c r="J16" s="626"/>
      <c r="K16" s="1"/>
      <c r="L16" s="1"/>
      <c r="M16" s="1"/>
      <c r="N16" s="1"/>
      <c r="O16" s="1"/>
      <c r="P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row>
    <row r="17" spans="1:84" x14ac:dyDescent="0.25">
      <c r="A17" s="1"/>
      <c r="B17" s="138" t="s">
        <v>258</v>
      </c>
      <c r="C17" s="1"/>
      <c r="D17" s="1"/>
      <c r="E17" s="1"/>
      <c r="G17" s="200" t="s">
        <v>382</v>
      </c>
      <c r="H17" s="1"/>
      <c r="I17" s="1"/>
      <c r="J17" s="275" t="str">
        <f>IF(E87&gt;=0,"Yes","No")</f>
        <v>Yes</v>
      </c>
      <c r="K17" s="1"/>
      <c r="L17" s="1"/>
      <c r="M17" s="1"/>
      <c r="N17" s="1"/>
      <c r="O17" s="1"/>
      <c r="P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x14ac:dyDescent="0.25">
      <c r="A18" s="1"/>
      <c r="B18" s="199" t="s">
        <v>259</v>
      </c>
      <c r="C18" s="622"/>
      <c r="D18" s="622"/>
      <c r="E18" s="622"/>
      <c r="F18" s="1"/>
      <c r="G18" s="200"/>
      <c r="H18" s="1"/>
      <c r="I18" s="1"/>
      <c r="J18" s="307"/>
      <c r="K18" s="1"/>
      <c r="L18" s="1"/>
      <c r="M18" s="1"/>
      <c r="N18" s="1"/>
      <c r="O18" s="1"/>
      <c r="P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row>
    <row r="19" spans="1:84" x14ac:dyDescent="0.25">
      <c r="A19" s="1"/>
      <c r="B19" s="199" t="s">
        <v>260</v>
      </c>
      <c r="C19" s="622"/>
      <c r="D19" s="622"/>
      <c r="E19" s="622"/>
      <c r="F19" s="1"/>
      <c r="G19" s="200" t="s">
        <v>383</v>
      </c>
      <c r="H19" s="1"/>
      <c r="I19" s="206"/>
      <c r="J19" s="308">
        <f>E124</f>
        <v>0.27796737595787052</v>
      </c>
      <c r="K19" s="1"/>
      <c r="L19" s="1"/>
      <c r="M19" s="1"/>
      <c r="N19" s="1"/>
      <c r="O19" s="1"/>
      <c r="P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row>
    <row r="20" spans="1:84" x14ac:dyDescent="0.25">
      <c r="A20" s="1"/>
      <c r="B20" s="199" t="s">
        <v>261</v>
      </c>
      <c r="C20" s="622"/>
      <c r="D20" s="622"/>
      <c r="E20" s="622"/>
      <c r="F20" s="1"/>
      <c r="G20" s="200" t="s">
        <v>384</v>
      </c>
      <c r="H20" s="1"/>
      <c r="I20" s="65"/>
      <c r="J20" s="309">
        <f>H55</f>
        <v>0.8666666666666667</v>
      </c>
      <c r="K20" s="1"/>
      <c r="L20" s="1"/>
      <c r="M20" s="1"/>
      <c r="N20" s="1"/>
      <c r="O20" s="1"/>
      <c r="P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x14ac:dyDescent="0.25">
      <c r="A21" s="1"/>
      <c r="B21" s="199" t="s">
        <v>262</v>
      </c>
      <c r="C21" s="623" t="s">
        <v>154</v>
      </c>
      <c r="D21" s="623"/>
      <c r="E21" s="623"/>
      <c r="F21" s="1"/>
      <c r="G21" s="200"/>
      <c r="H21" s="1"/>
      <c r="I21" s="1"/>
      <c r="J21" s="307"/>
      <c r="L21" s="1"/>
      <c r="M21" s="1"/>
      <c r="N21" s="1"/>
      <c r="O21" s="1"/>
      <c r="P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x14ac:dyDescent="0.25">
      <c r="A22" s="1"/>
      <c r="B22" s="199" t="s">
        <v>264</v>
      </c>
      <c r="C22" s="622" t="s">
        <v>161</v>
      </c>
      <c r="D22" s="622"/>
      <c r="E22" s="622"/>
      <c r="F22" s="48"/>
      <c r="G22" s="200" t="s">
        <v>441</v>
      </c>
      <c r="H22" s="1"/>
      <c r="I22" s="1"/>
      <c r="J22" s="274">
        <f>E63+E68+E69+E62</f>
        <v>534.55264607282788</v>
      </c>
      <c r="K22" s="1"/>
      <c r="L22" s="1"/>
      <c r="M22" s="1"/>
      <c r="N22" s="1"/>
      <c r="O22" s="1"/>
      <c r="P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x14ac:dyDescent="0.25">
      <c r="A23" s="1"/>
      <c r="B23" s="199" t="s">
        <v>265</v>
      </c>
      <c r="C23" s="207"/>
      <c r="D23" s="207"/>
      <c r="E23" s="207"/>
      <c r="F23" s="48"/>
      <c r="G23" s="200" t="s">
        <v>263</v>
      </c>
      <c r="H23" s="1"/>
      <c r="I23" s="1"/>
      <c r="J23" s="274">
        <f>C120</f>
        <v>500</v>
      </c>
      <c r="K23" s="1"/>
      <c r="L23" s="1"/>
      <c r="M23" s="1"/>
      <c r="N23" s="1"/>
      <c r="O23" s="1"/>
      <c r="P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x14ac:dyDescent="0.25">
      <c r="A24" s="1"/>
      <c r="B24" s="199"/>
      <c r="C24" s="208" t="s">
        <v>266</v>
      </c>
      <c r="D24" s="627" t="s">
        <v>267</v>
      </c>
      <c r="E24" s="627"/>
      <c r="F24" s="48"/>
      <c r="G24" s="200"/>
      <c r="H24" s="1"/>
      <c r="I24" s="1"/>
      <c r="J24" s="307"/>
      <c r="K24" s="1"/>
      <c r="L24" s="1"/>
      <c r="M24" s="1"/>
      <c r="N24" s="1"/>
      <c r="O24" s="1"/>
      <c r="P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ht="15.75" thickBot="1" x14ac:dyDescent="0.3">
      <c r="A25" s="1"/>
      <c r="B25" s="209" t="s">
        <v>268</v>
      </c>
      <c r="C25" s="189">
        <v>100000</v>
      </c>
      <c r="D25" s="620">
        <v>0.03</v>
      </c>
      <c r="E25" s="620"/>
      <c r="F25" s="299">
        <f>C25*0.0139</f>
        <v>1390</v>
      </c>
      <c r="G25" s="301" t="s">
        <v>323</v>
      </c>
      <c r="H25" s="303"/>
      <c r="I25" s="303"/>
      <c r="J25" s="310">
        <f>T109</f>
        <v>218414.01802825494</v>
      </c>
      <c r="K25" s="1"/>
      <c r="L25" s="1"/>
      <c r="M25" s="1"/>
      <c r="N25" s="1"/>
      <c r="O25" s="1"/>
      <c r="P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x14ac:dyDescent="0.25">
      <c r="A26" s="1"/>
      <c r="B26" s="209" t="s">
        <v>269</v>
      </c>
      <c r="C26" s="189">
        <v>0</v>
      </c>
      <c r="D26" s="620">
        <v>0</v>
      </c>
      <c r="E26" s="620"/>
      <c r="F26" s="299">
        <f t="shared" ref="F26:F28" si="0">C26*0.0139</f>
        <v>0</v>
      </c>
      <c r="G26" s="1"/>
      <c r="H26" s="1"/>
      <c r="I26" s="1"/>
      <c r="J26" s="187"/>
      <c r="K26" s="1"/>
      <c r="L26" s="1"/>
      <c r="M26" s="1"/>
      <c r="N26" s="1"/>
      <c r="O26" s="1"/>
      <c r="P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x14ac:dyDescent="0.25">
      <c r="A27" s="1"/>
      <c r="B27" s="209" t="s">
        <v>270</v>
      </c>
      <c r="C27" s="189">
        <v>0</v>
      </c>
      <c r="D27" s="620">
        <v>0</v>
      </c>
      <c r="E27" s="620"/>
      <c r="F27" s="299">
        <f t="shared" si="0"/>
        <v>0</v>
      </c>
      <c r="G27" s="1"/>
      <c r="H27" s="1"/>
      <c r="I27" s="1"/>
      <c r="J27" s="187"/>
      <c r="K27" s="1"/>
      <c r="L27" s="1"/>
      <c r="M27" s="1"/>
      <c r="N27" s="1"/>
      <c r="O27" s="1"/>
      <c r="P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x14ac:dyDescent="0.25">
      <c r="A28" s="1"/>
      <c r="B28" s="209" t="s">
        <v>271</v>
      </c>
      <c r="C28" s="189">
        <v>0</v>
      </c>
      <c r="D28" s="620">
        <v>0</v>
      </c>
      <c r="E28" s="620"/>
      <c r="F28" s="299">
        <f t="shared" si="0"/>
        <v>0</v>
      </c>
      <c r="G28" s="1"/>
      <c r="H28" s="1"/>
      <c r="I28" s="1"/>
      <c r="J28" s="187"/>
      <c r="K28" s="1"/>
      <c r="L28" s="1"/>
      <c r="M28" s="1"/>
      <c r="N28" s="1"/>
      <c r="O28" s="1"/>
      <c r="P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x14ac:dyDescent="0.25">
      <c r="A29" s="1"/>
      <c r="B29" s="210" t="s">
        <v>272</v>
      </c>
      <c r="C29" s="211"/>
      <c r="D29" s="212"/>
      <c r="E29" s="212"/>
      <c r="F29" s="48"/>
      <c r="G29" s="44"/>
      <c r="H29" s="44"/>
      <c r="I29" s="1"/>
      <c r="J29" s="1"/>
      <c r="K29" s="1"/>
      <c r="L29" s="1"/>
      <c r="M29" s="1"/>
      <c r="N29" s="1"/>
      <c r="O29" s="1"/>
      <c r="P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x14ac:dyDescent="0.25">
      <c r="A30" s="1"/>
      <c r="B30" s="213" t="s">
        <v>273</v>
      </c>
      <c r="C30" s="604"/>
      <c r="D30" s="604"/>
      <c r="E30" s="214" t="s">
        <v>144</v>
      </c>
      <c r="F30" s="300">
        <f>IF(E30="Yes",0,1)</f>
        <v>0</v>
      </c>
      <c r="G30" s="44"/>
      <c r="H30" s="44"/>
      <c r="I30" s="44"/>
      <c r="J30" s="44"/>
      <c r="K30" s="1"/>
      <c r="L30" s="1"/>
      <c r="M30" s="1"/>
      <c r="N30" s="1"/>
      <c r="O30" s="1"/>
      <c r="P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x14ac:dyDescent="0.25">
      <c r="A31" s="1"/>
      <c r="B31" s="213" t="s">
        <v>274</v>
      </c>
      <c r="C31" s="604"/>
      <c r="D31" s="604"/>
      <c r="E31" s="214" t="s">
        <v>148</v>
      </c>
      <c r="F31" s="300">
        <f>IF(E31="No",0,1)</f>
        <v>0</v>
      </c>
      <c r="G31" s="44"/>
      <c r="H31" s="44"/>
      <c r="I31" s="44"/>
      <c r="J31" s="44"/>
      <c r="K31" s="1"/>
      <c r="L31" s="1"/>
      <c r="M31" s="1"/>
      <c r="N31" s="1"/>
      <c r="O31" s="1"/>
      <c r="P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ht="18.75" customHeight="1" x14ac:dyDescent="0.25">
      <c r="A32" s="1"/>
      <c r="B32" s="215" t="s">
        <v>275</v>
      </c>
      <c r="C32" s="216" t="str">
        <f>IF($E$32&lt;=130000,"Yes","No")</f>
        <v>Yes</v>
      </c>
      <c r="D32" s="217"/>
      <c r="E32" s="218">
        <f>SUM($C$25:$C$28)</f>
        <v>100000</v>
      </c>
      <c r="F32" s="219">
        <f>IF(C32="Yes",0,1)</f>
        <v>0</v>
      </c>
      <c r="G32" s="220"/>
      <c r="H32" s="44"/>
      <c r="I32" s="44"/>
      <c r="J32" s="44"/>
      <c r="K32" s="1"/>
      <c r="L32" s="1"/>
      <c r="M32" s="1"/>
      <c r="N32" s="1"/>
      <c r="O32" s="1"/>
      <c r="P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s="1" customFormat="1" x14ac:dyDescent="0.25">
      <c r="G33" s="44"/>
      <c r="H33" s="44"/>
      <c r="I33" s="44"/>
      <c r="J33" s="44"/>
    </row>
    <row r="34" spans="1:84" s="1" customFormat="1" x14ac:dyDescent="0.25">
      <c r="B34" s="138" t="s">
        <v>385</v>
      </c>
      <c r="C34" s="65"/>
      <c r="D34" s="65"/>
      <c r="E34" s="65"/>
      <c r="G34" s="44"/>
      <c r="H34" s="44"/>
      <c r="I34" s="44"/>
      <c r="J34" s="44"/>
    </row>
    <row r="35" spans="1:84" x14ac:dyDescent="0.25">
      <c r="A35" s="1"/>
      <c r="B35" s="213" t="s">
        <v>326</v>
      </c>
      <c r="C35" s="211"/>
      <c r="D35" s="211"/>
      <c r="E35" s="221">
        <v>600000</v>
      </c>
      <c r="F35" s="1"/>
      <c r="G35" s="44"/>
      <c r="H35" s="222"/>
      <c r="I35" s="44"/>
      <c r="J35" s="44"/>
      <c r="K35" s="1"/>
      <c r="L35" s="1"/>
      <c r="M35" s="1"/>
      <c r="N35" s="1"/>
      <c r="O35" s="1"/>
      <c r="P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x14ac:dyDescent="0.25">
      <c r="A36" s="1"/>
      <c r="B36" s="213" t="s">
        <v>324</v>
      </c>
      <c r="C36" s="605">
        <f>E36/E35</f>
        <v>0.5</v>
      </c>
      <c r="D36" s="605"/>
      <c r="E36" s="221">
        <v>300000</v>
      </c>
      <c r="F36" s="1"/>
      <c r="G36" s="44"/>
      <c r="H36" s="44"/>
      <c r="I36" s="44"/>
      <c r="J36" s="44"/>
      <c r="K36" s="1"/>
      <c r="L36" s="1"/>
      <c r="M36" s="1"/>
      <c r="N36" s="1"/>
      <c r="O36" s="1"/>
      <c r="P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x14ac:dyDescent="0.25">
      <c r="A37" s="34"/>
      <c r="B37" s="215" t="s">
        <v>325</v>
      </c>
      <c r="C37" s="605">
        <f>100%-C36</f>
        <v>0.5</v>
      </c>
      <c r="D37" s="605"/>
      <c r="E37" s="218">
        <f>$C$37*$E$35</f>
        <v>300000</v>
      </c>
      <c r="F37" s="219">
        <f>IF(C37&lt;=50%,0,1)</f>
        <v>0</v>
      </c>
      <c r="G37" s="44"/>
      <c r="H37" s="44"/>
      <c r="I37" s="44"/>
      <c r="J37" s="44"/>
      <c r="K37" s="1"/>
      <c r="L37" s="1"/>
      <c r="M37" s="1"/>
      <c r="N37" s="1"/>
      <c r="O37" s="1"/>
      <c r="P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x14ac:dyDescent="0.25">
      <c r="A38" s="34"/>
      <c r="B38" s="215" t="s">
        <v>327</v>
      </c>
      <c r="C38" s="615">
        <v>1.4999999999999999E-2</v>
      </c>
      <c r="D38" s="615"/>
      <c r="E38" s="218">
        <f>E37*C38</f>
        <v>4500</v>
      </c>
      <c r="F38" s="219"/>
      <c r="G38" s="44"/>
      <c r="H38" s="44"/>
      <c r="I38" s="44"/>
      <c r="J38" s="44"/>
      <c r="K38" s="1"/>
      <c r="L38" s="1"/>
      <c r="M38" s="1"/>
      <c r="N38" s="1"/>
      <c r="O38" s="1"/>
      <c r="P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x14ac:dyDescent="0.25">
      <c r="A39" s="34"/>
      <c r="B39" s="215" t="s">
        <v>328</v>
      </c>
      <c r="C39" s="279"/>
      <c r="D39" s="279"/>
      <c r="E39" s="218">
        <f>$E$38/52</f>
        <v>86.538461538461533</v>
      </c>
      <c r="F39" s="219"/>
      <c r="G39" s="44"/>
      <c r="H39" s="44"/>
      <c r="I39" s="44"/>
      <c r="J39" s="44"/>
      <c r="K39" s="1"/>
      <c r="L39" s="1"/>
      <c r="M39" s="1"/>
      <c r="N39" s="1"/>
      <c r="O39" s="1"/>
      <c r="P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x14ac:dyDescent="0.25">
      <c r="A40" s="34"/>
      <c r="B40" s="278"/>
      <c r="C40" s="277"/>
      <c r="D40" s="277"/>
      <c r="E40" s="218"/>
      <c r="F40" s="219"/>
      <c r="G40" s="44"/>
      <c r="H40" s="44"/>
      <c r="I40" s="44"/>
      <c r="J40" s="44"/>
      <c r="K40" s="1"/>
      <c r="L40" s="1"/>
      <c r="M40" s="1"/>
      <c r="N40" s="1"/>
      <c r="O40" s="1"/>
      <c r="P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x14ac:dyDescent="0.25">
      <c r="A41" s="1"/>
      <c r="B41" s="13"/>
      <c r="C41" s="13"/>
      <c r="D41" s="13"/>
      <c r="E41" s="148"/>
      <c r="F41" s="1"/>
      <c r="G41" s="44"/>
      <c r="H41" s="44"/>
      <c r="I41" s="44"/>
      <c r="J41" s="44"/>
      <c r="K41" s="1"/>
      <c r="L41" s="1"/>
      <c r="M41" s="1"/>
      <c r="N41" s="1"/>
      <c r="O41" s="1"/>
      <c r="P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row>
    <row r="42" spans="1:84" x14ac:dyDescent="0.25">
      <c r="A42" s="1"/>
      <c r="B42" s="138" t="s">
        <v>276</v>
      </c>
      <c r="C42" s="13"/>
      <c r="D42" s="13"/>
      <c r="E42" s="148"/>
      <c r="F42" s="1"/>
      <c r="G42" s="44"/>
      <c r="H42" s="44"/>
      <c r="I42" s="44"/>
      <c r="J42" s="44"/>
      <c r="K42" s="1"/>
      <c r="L42" s="1"/>
      <c r="M42" s="1"/>
      <c r="N42" s="1"/>
      <c r="O42" s="1"/>
      <c r="P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row>
    <row r="43" spans="1:84" x14ac:dyDescent="0.25">
      <c r="A43" s="1"/>
      <c r="B43" s="223" t="s">
        <v>277</v>
      </c>
      <c r="C43" s="13"/>
      <c r="D43" s="13"/>
      <c r="E43" s="148"/>
      <c r="F43" s="1"/>
      <c r="G43" s="44"/>
      <c r="H43" s="44"/>
      <c r="I43" s="44"/>
      <c r="J43" s="44"/>
      <c r="K43" s="1"/>
      <c r="L43" s="1"/>
      <c r="M43" s="1"/>
      <c r="N43" s="1"/>
      <c r="O43" s="1"/>
      <c r="P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row>
    <row r="44" spans="1:84" ht="14.45" customHeight="1" x14ac:dyDescent="0.25">
      <c r="A44" s="1"/>
      <c r="B44" s="199" t="s">
        <v>278</v>
      </c>
      <c r="C44" s="48"/>
      <c r="D44" s="48"/>
      <c r="E44" s="182">
        <v>0</v>
      </c>
      <c r="F44" s="1"/>
      <c r="G44" s="44"/>
      <c r="H44" s="44"/>
      <c r="I44" s="44"/>
      <c r="J44" s="44"/>
      <c r="K44" s="1"/>
      <c r="L44" s="1"/>
      <c r="M44" s="1"/>
      <c r="N44" s="1"/>
      <c r="O44" s="1"/>
      <c r="P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row>
    <row r="45" spans="1:84" ht="14.45" customHeight="1" x14ac:dyDescent="0.25">
      <c r="A45" s="1"/>
      <c r="B45" s="199" t="s">
        <v>279</v>
      </c>
      <c r="C45" s="48"/>
      <c r="D45" s="48"/>
      <c r="E45" s="182">
        <v>20000</v>
      </c>
      <c r="F45" s="1"/>
      <c r="G45" s="1"/>
      <c r="H45" s="1"/>
      <c r="I45" s="1"/>
      <c r="J45" s="1"/>
      <c r="K45" s="1"/>
      <c r="L45" s="1"/>
      <c r="M45" s="1"/>
      <c r="N45" s="1"/>
      <c r="O45" s="1"/>
      <c r="P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row>
    <row r="46" spans="1:84" ht="14.45" customHeight="1" x14ac:dyDescent="0.25">
      <c r="A46" s="1"/>
      <c r="B46" s="199" t="s">
        <v>388</v>
      </c>
      <c r="C46" s="48"/>
      <c r="D46" s="48"/>
      <c r="E46" s="182">
        <v>20000</v>
      </c>
      <c r="F46" s="1"/>
      <c r="G46" s="1"/>
      <c r="H46" s="1"/>
      <c r="I46" s="1"/>
      <c r="J46" s="1"/>
      <c r="K46" s="1"/>
      <c r="L46" s="1"/>
      <c r="M46" s="1"/>
      <c r="N46" s="1"/>
      <c r="O46" s="1"/>
      <c r="P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row>
    <row r="47" spans="1:84" ht="14.45" customHeight="1" x14ac:dyDescent="0.25">
      <c r="A47" s="1"/>
      <c r="B47" s="199" t="s">
        <v>280</v>
      </c>
      <c r="C47" s="48"/>
      <c r="D47" s="48"/>
      <c r="E47" s="182">
        <v>0</v>
      </c>
      <c r="F47" s="1"/>
      <c r="G47" s="1"/>
      <c r="H47" s="1"/>
      <c r="I47" s="1"/>
      <c r="J47" s="1"/>
      <c r="K47" s="1"/>
      <c r="L47" s="1"/>
      <c r="M47" s="1"/>
      <c r="N47" s="1"/>
      <c r="O47" s="1"/>
      <c r="P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row>
    <row r="48" spans="1:84" ht="15" customHeight="1" x14ac:dyDescent="0.25">
      <c r="A48" s="1"/>
      <c r="B48" s="43" t="s">
        <v>93</v>
      </c>
      <c r="C48" s="48"/>
      <c r="D48" s="48"/>
      <c r="E48" s="20">
        <f>SUM(E44:E47)</f>
        <v>40000</v>
      </c>
      <c r="F48" s="1"/>
      <c r="G48" s="1"/>
      <c r="H48" s="1"/>
      <c r="I48" s="1"/>
      <c r="J48" s="1"/>
      <c r="K48" s="1"/>
      <c r="L48" s="1"/>
      <c r="M48" s="1"/>
      <c r="N48" s="1"/>
      <c r="O48" s="1"/>
      <c r="P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row>
    <row r="49" spans="1:84" ht="15" customHeight="1" x14ac:dyDescent="0.25">
      <c r="A49" s="1"/>
      <c r="B49" s="43" t="s">
        <v>281</v>
      </c>
      <c r="C49" s="224"/>
      <c r="D49" s="224"/>
      <c r="E49" s="20">
        <f>$E$36-$E$48</f>
        <v>260000</v>
      </c>
      <c r="F49" s="1"/>
      <c r="G49" s="1"/>
      <c r="H49" s="1"/>
      <c r="I49" s="1"/>
      <c r="J49" s="1"/>
      <c r="K49" s="1"/>
      <c r="L49" s="1"/>
      <c r="M49" s="1"/>
      <c r="N49" s="1"/>
      <c r="O49" s="1"/>
      <c r="P49" s="1"/>
      <c r="AC49" s="1"/>
      <c r="AD49" s="1"/>
      <c r="AE49" s="1"/>
      <c r="AF49" s="1"/>
      <c r="AG49" s="1"/>
      <c r="AH49" s="1"/>
      <c r="AI49" s="1"/>
      <c r="AJ49" s="1"/>
      <c r="AK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row>
    <row r="50" spans="1:84" ht="15" customHeight="1" x14ac:dyDescent="0.25">
      <c r="A50" s="1"/>
      <c r="B50" s="13"/>
      <c r="C50" s="225"/>
      <c r="D50" s="225"/>
      <c r="E50" s="148"/>
      <c r="F50" s="1"/>
      <c r="G50" s="1"/>
      <c r="H50" s="1"/>
      <c r="I50" s="1"/>
      <c r="J50" s="1"/>
      <c r="K50" s="1"/>
      <c r="L50" s="1"/>
      <c r="M50" s="1"/>
      <c r="N50" s="1"/>
      <c r="O50" s="1"/>
      <c r="P50" s="1"/>
      <c r="AC50" s="1"/>
      <c r="AD50" s="1"/>
      <c r="AE50" s="1"/>
      <c r="AF50" s="1"/>
      <c r="AG50" s="1"/>
      <c r="AH50" s="1"/>
      <c r="AI50" s="1"/>
      <c r="AJ50" s="1"/>
      <c r="AK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row>
    <row r="51" spans="1:84" x14ac:dyDescent="0.25">
      <c r="A51" s="1"/>
      <c r="B51" s="138" t="s">
        <v>386</v>
      </c>
      <c r="C51" s="225"/>
      <c r="D51" s="225"/>
      <c r="E51" s="148"/>
      <c r="F51" s="1"/>
      <c r="G51" s="138" t="s">
        <v>282</v>
      </c>
      <c r="H51" s="1"/>
      <c r="I51" s="1"/>
      <c r="J51" s="1"/>
      <c r="K51" s="1"/>
      <c r="L51" s="1"/>
      <c r="M51" s="1"/>
      <c r="N51" s="1"/>
      <c r="O51" s="1"/>
      <c r="P51" s="1"/>
      <c r="AC51" s="1"/>
      <c r="AD51" s="1"/>
      <c r="AE51" s="1"/>
      <c r="AF51" s="1"/>
      <c r="AG51" s="1"/>
      <c r="AH51" s="1"/>
      <c r="AI51" s="1"/>
      <c r="AJ51" s="1"/>
      <c r="AK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row>
    <row r="52" spans="1:84" x14ac:dyDescent="0.25">
      <c r="A52" s="1"/>
      <c r="B52" s="223" t="s">
        <v>283</v>
      </c>
      <c r="C52" s="225"/>
      <c r="D52" s="225"/>
      <c r="E52" s="148"/>
      <c r="F52" s="1"/>
      <c r="G52" s="223" t="s">
        <v>284</v>
      </c>
      <c r="H52" s="1"/>
      <c r="I52" s="1"/>
      <c r="J52" s="1"/>
      <c r="K52" s="1"/>
      <c r="L52" s="1"/>
      <c r="M52" s="1"/>
      <c r="N52" s="1"/>
      <c r="O52" s="1"/>
      <c r="P52" s="1"/>
      <c r="AC52" s="1"/>
      <c r="AD52" s="1"/>
      <c r="AE52" s="1"/>
      <c r="AF52" s="1"/>
      <c r="AG52" s="1"/>
      <c r="AH52" s="1"/>
      <c r="AI52" s="1"/>
      <c r="AJ52" s="1"/>
      <c r="AK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row>
    <row r="53" spans="1:84" x14ac:dyDescent="0.25">
      <c r="A53" s="1"/>
      <c r="B53" s="226"/>
      <c r="C53" s="225"/>
      <c r="D53" s="225"/>
      <c r="E53" s="148"/>
      <c r="F53" s="1"/>
      <c r="G53" s="1"/>
      <c r="H53" s="1"/>
      <c r="I53" s="1"/>
      <c r="J53" s="1"/>
      <c r="K53" s="1"/>
      <c r="L53" s="1"/>
      <c r="M53" s="1"/>
      <c r="N53" s="1"/>
      <c r="O53" s="1"/>
      <c r="P53" s="1"/>
      <c r="AC53" s="1"/>
      <c r="AD53" s="1"/>
      <c r="AE53" s="1"/>
      <c r="AF53" s="1"/>
      <c r="AG53" s="1"/>
      <c r="AH53" s="1"/>
      <c r="AI53" s="1"/>
      <c r="AJ53" s="1"/>
      <c r="AK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row>
    <row r="54" spans="1:84" x14ac:dyDescent="0.25">
      <c r="A54" s="1"/>
      <c r="B54" s="57" t="s">
        <v>191</v>
      </c>
      <c r="C54" s="606"/>
      <c r="D54" s="606"/>
      <c r="E54" s="17" t="s">
        <v>192</v>
      </c>
      <c r="F54" s="1"/>
      <c r="G54" s="227" t="s">
        <v>137</v>
      </c>
      <c r="H54" s="228">
        <f>$E$49</f>
        <v>260000</v>
      </c>
      <c r="I54" s="229"/>
      <c r="J54" s="230"/>
      <c r="K54" s="15"/>
      <c r="L54" s="231"/>
      <c r="M54" s="232"/>
      <c r="N54" s="15"/>
      <c r="O54" s="15"/>
      <c r="P54" s="15"/>
      <c r="AC54" s="1"/>
      <c r="AD54" s="1"/>
      <c r="AE54" s="1"/>
      <c r="AF54" s="1"/>
      <c r="AG54" s="1"/>
      <c r="AH54" s="1"/>
      <c r="AI54" s="1"/>
      <c r="AJ54" s="1"/>
      <c r="AK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row>
    <row r="55" spans="1:84" x14ac:dyDescent="0.25">
      <c r="A55" s="1"/>
      <c r="B55" s="2" t="s">
        <v>285</v>
      </c>
      <c r="C55" s="607"/>
      <c r="D55" s="607"/>
      <c r="E55" s="21">
        <f>((($C$25-SUM($B$5))/52)+(($C$26-SUM($C$5))/52)+(($C$27-SUM($E$5))/52)+(($C$28-SUM($F$5))/52))-(((C25*D25)+(C26*D26)+(C27*D27)+(C28*D28)+(F25+F26+F27+F28))/52)</f>
        <v>1378.6538461538462</v>
      </c>
      <c r="F55" s="1"/>
      <c r="G55" s="102" t="s">
        <v>286</v>
      </c>
      <c r="H55" s="156">
        <f>$H$54/$E$36</f>
        <v>0.8666666666666667</v>
      </c>
      <c r="I55" s="15"/>
      <c r="J55" s="233"/>
      <c r="K55" s="15"/>
      <c r="L55" s="15"/>
      <c r="M55" s="234"/>
      <c r="N55" s="15"/>
      <c r="O55" s="15"/>
      <c r="P55" s="15"/>
      <c r="AC55" s="1"/>
      <c r="AD55" s="1"/>
      <c r="AE55" s="1"/>
      <c r="AF55" s="1"/>
      <c r="AG55" s="1"/>
      <c r="AH55" s="1"/>
      <c r="AI55" s="1"/>
      <c r="AJ55" s="1"/>
      <c r="AK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row>
    <row r="56" spans="1:84" x14ac:dyDescent="0.25">
      <c r="A56" s="1"/>
      <c r="B56" s="2" t="s">
        <v>193</v>
      </c>
      <c r="C56" s="607"/>
      <c r="D56" s="607"/>
      <c r="E56" s="179">
        <v>0</v>
      </c>
      <c r="F56" s="1"/>
      <c r="G56" s="102"/>
      <c r="H56" s="15"/>
      <c r="I56" s="15"/>
      <c r="J56" s="233"/>
      <c r="K56" s="15"/>
      <c r="L56" s="15"/>
      <c r="M56" s="232"/>
      <c r="N56" s="15"/>
      <c r="O56" s="15"/>
      <c r="P56" s="15"/>
      <c r="AC56" s="1"/>
      <c r="AD56" s="1"/>
      <c r="AE56" s="1"/>
      <c r="AF56" s="1"/>
      <c r="AG56" s="1"/>
      <c r="AH56" s="1"/>
      <c r="AI56" s="1"/>
      <c r="AJ56" s="1"/>
      <c r="AK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row>
    <row r="57" spans="1:84" x14ac:dyDescent="0.25">
      <c r="A57" s="1"/>
      <c r="B57" s="64" t="s">
        <v>112</v>
      </c>
      <c r="C57" s="610"/>
      <c r="D57" s="610"/>
      <c r="E57" s="101">
        <f>E55+E56</f>
        <v>1378.6538461538462</v>
      </c>
      <c r="F57" s="1"/>
      <c r="G57" s="102" t="s">
        <v>194</v>
      </c>
      <c r="H57" s="282">
        <v>6.25E-2</v>
      </c>
      <c r="I57" s="15"/>
      <c r="J57" s="233"/>
      <c r="K57" s="235"/>
      <c r="L57" s="235"/>
      <c r="M57" s="236"/>
      <c r="N57" s="15"/>
      <c r="O57" s="15"/>
      <c r="P57" s="15"/>
      <c r="AC57" s="1"/>
      <c r="AD57" s="1"/>
      <c r="AE57" s="1"/>
      <c r="AF57" s="1"/>
      <c r="AG57" s="1"/>
      <c r="AH57" s="1"/>
      <c r="AI57" s="1"/>
      <c r="AJ57" s="1"/>
      <c r="AK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row>
    <row r="58" spans="1:84" ht="15.75" x14ac:dyDescent="0.25">
      <c r="A58" s="1"/>
      <c r="B58" s="137" t="s">
        <v>195</v>
      </c>
      <c r="C58" s="237" t="s">
        <v>196</v>
      </c>
      <c r="D58" s="238"/>
      <c r="E58" s="136" t="s">
        <v>192</v>
      </c>
      <c r="F58" s="1"/>
      <c r="G58" s="239" t="s">
        <v>287</v>
      </c>
      <c r="H58" s="240">
        <v>30</v>
      </c>
      <c r="I58" s="151"/>
      <c r="J58" s="241"/>
      <c r="K58" s="15"/>
      <c r="L58" s="15"/>
      <c r="M58" s="15"/>
      <c r="N58" s="15"/>
      <c r="O58" s="15"/>
      <c r="P58" s="15"/>
      <c r="AC58" s="1"/>
      <c r="AD58" s="1"/>
      <c r="AE58" s="1"/>
      <c r="AF58" s="1"/>
      <c r="AG58" s="1"/>
      <c r="AH58" s="1"/>
      <c r="AI58" s="1"/>
      <c r="AJ58" s="1"/>
      <c r="AK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row>
    <row r="59" spans="1:84" ht="26.25" x14ac:dyDescent="0.25">
      <c r="A59" s="1"/>
      <c r="B59" s="58"/>
      <c r="C59" s="242" t="str">
        <f>C21&amp;""&amp;C22</f>
        <v>Urban Auckland Couple with 2 dependent children</v>
      </c>
      <c r="D59" s="104"/>
      <c r="E59" s="22"/>
      <c r="F59" s="1"/>
      <c r="G59" s="243" t="s">
        <v>197</v>
      </c>
      <c r="H59" s="105" t="s">
        <v>288</v>
      </c>
      <c r="I59" s="105" t="s">
        <v>198</v>
      </c>
      <c r="J59" s="244" t="s">
        <v>289</v>
      </c>
      <c r="K59" s="105"/>
      <c r="L59" s="105"/>
      <c r="M59" s="105"/>
      <c r="N59" s="15"/>
      <c r="O59" s="15"/>
      <c r="P59" s="15"/>
      <c r="AC59" s="1"/>
      <c r="AD59" s="1"/>
      <c r="AE59" s="1"/>
      <c r="AF59" s="1"/>
      <c r="AG59" s="1"/>
      <c r="AH59" s="1"/>
      <c r="AI59" s="1"/>
      <c r="AJ59" s="1"/>
      <c r="AK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row>
    <row r="60" spans="1:84" ht="15.75" x14ac:dyDescent="0.25">
      <c r="A60" s="187"/>
      <c r="B60" s="42" t="s">
        <v>165</v>
      </c>
      <c r="C60" s="245">
        <f>IFERROR(INDEX(Codes!$N$11:$AK$48,MATCH($C$59,Codes!$N$11:$N$48,0),MATCH($B60,Codes!$N$11:$AK$11,0)),0)</f>
        <v>395.8</v>
      </c>
      <c r="D60" s="187">
        <f t="shared" ref="D60:D76" si="1">IF(E60&gt;ROUND(C60,0),2,IF(E60&lt;ROUND(C60,0),0,1))</f>
        <v>0</v>
      </c>
      <c r="E60" s="179">
        <v>100</v>
      </c>
      <c r="F60" s="1"/>
      <c r="G60" s="246">
        <v>1</v>
      </c>
      <c r="H60" s="280">
        <f>PMT($H$57/1,$H$58,$H$54)</f>
        <v>-19396.73759578705</v>
      </c>
      <c r="I60" s="281">
        <f>PPMT($H$57/1,$G60,$H$58,$H$54) +$H$54</f>
        <v>256853.26240421296</v>
      </c>
      <c r="J60" s="247">
        <f>-PPMT($H$57/1,$G60,$H$58,$H$54)</f>
        <v>3146.737595787049</v>
      </c>
      <c r="K60" s="248"/>
      <c r="L60" s="248"/>
      <c r="M60" s="248"/>
      <c r="N60" s="15"/>
      <c r="O60" s="15"/>
      <c r="P60" s="15"/>
      <c r="AC60" s="1"/>
      <c r="AD60" s="1"/>
      <c r="AE60" s="1"/>
      <c r="AF60" s="1"/>
      <c r="AG60" s="1"/>
      <c r="AH60" s="1"/>
      <c r="AI60" s="1"/>
      <c r="AJ60" s="1"/>
      <c r="AK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row>
    <row r="61" spans="1:84" ht="15.75" x14ac:dyDescent="0.25">
      <c r="A61" s="187"/>
      <c r="B61" s="249" t="s">
        <v>166</v>
      </c>
      <c r="C61" s="245">
        <f>IFERROR(INDEX(Codes!$N$11:$AK$48,MATCH($C$59,Codes!$N$11:$N$48,0),MATCH($B61,Codes!$N$11:$AK$11,0)),0)</f>
        <v>555.29999999999995</v>
      </c>
      <c r="D61" s="187">
        <f t="shared" si="1"/>
        <v>0</v>
      </c>
      <c r="E61" s="21">
        <v>0</v>
      </c>
      <c r="F61" s="1"/>
      <c r="G61" s="246">
        <v>2</v>
      </c>
      <c r="H61" s="280">
        <f t="shared" ref="H61:H74" si="2">PMT($H$57/1,$H$58,$H$54)</f>
        <v>-19396.73759578705</v>
      </c>
      <c r="I61" s="281">
        <f t="shared" ref="I61" si="3">PPMT($H$57/1,$G61,$H$58,$H$54) +I60</f>
        <v>253509.85370868922</v>
      </c>
      <c r="J61" s="247">
        <f t="shared" ref="J61:J74" si="4">-PPMT($H$57/1,$G61,$H$58,$H$54)+J60</f>
        <v>6490.1462913107889</v>
      </c>
      <c r="K61" s="248"/>
      <c r="L61" s="248"/>
      <c r="M61" s="248"/>
      <c r="N61" s="15"/>
      <c r="O61" s="15"/>
      <c r="P61" s="15"/>
      <c r="AC61" s="1"/>
      <c r="AD61" s="1"/>
      <c r="AE61" s="1"/>
      <c r="AF61" s="1"/>
      <c r="AG61" s="1"/>
      <c r="AH61" s="1"/>
      <c r="AI61" s="1"/>
      <c r="AJ61" s="1"/>
      <c r="AK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row>
    <row r="62" spans="1:84" ht="15.75" x14ac:dyDescent="0.25">
      <c r="A62" s="187"/>
      <c r="B62" s="249" t="s">
        <v>211</v>
      </c>
      <c r="C62" s="245" t="s">
        <v>200</v>
      </c>
      <c r="D62" s="187"/>
      <c r="E62" s="21">
        <f>E39</f>
        <v>86.538461538461533</v>
      </c>
      <c r="F62" s="1"/>
      <c r="G62" s="246">
        <v>3</v>
      </c>
      <c r="H62" s="280">
        <f t="shared" si="2"/>
        <v>-19396.73759578705</v>
      </c>
      <c r="I62" s="281">
        <f t="shared" ref="I62:I74" si="5">PPMT($H$57/1,$G62,$H$58,$H$54) +I61</f>
        <v>249957.48196969525</v>
      </c>
      <c r="J62" s="247">
        <f t="shared" si="4"/>
        <v>10042.518030304764</v>
      </c>
      <c r="K62" s="248"/>
      <c r="L62" s="248"/>
      <c r="M62" s="248"/>
      <c r="N62" s="15"/>
      <c r="O62" s="15"/>
      <c r="P62" s="15"/>
      <c r="AC62" s="1"/>
      <c r="AD62" s="1"/>
      <c r="AE62" s="1"/>
      <c r="AF62" s="1"/>
      <c r="AG62" s="1"/>
      <c r="AH62" s="1"/>
      <c r="AI62" s="1"/>
      <c r="AJ62" s="1"/>
      <c r="AK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row>
    <row r="63" spans="1:84" ht="15.75" x14ac:dyDescent="0.25">
      <c r="A63" s="187"/>
      <c r="B63" s="249" t="s">
        <v>167</v>
      </c>
      <c r="C63" s="245">
        <f>IFERROR(INDEX(Codes!$N$11:$AK$48,MATCH($C$59,Codes!$N$11:$N$48,0),MATCH($B63,Codes!$N$11:$AK$11,0)),0)</f>
        <v>640.70000000000005</v>
      </c>
      <c r="D63" s="187">
        <f t="shared" si="1"/>
        <v>0</v>
      </c>
      <c r="E63" s="21">
        <f>-H60/52</f>
        <v>373.01418453436634</v>
      </c>
      <c r="F63" s="1"/>
      <c r="G63" s="246">
        <v>4</v>
      </c>
      <c r="H63" s="280">
        <f t="shared" si="2"/>
        <v>-19396.73759578705</v>
      </c>
      <c r="I63" s="281">
        <f t="shared" si="5"/>
        <v>246183.08699701415</v>
      </c>
      <c r="J63" s="247">
        <f t="shared" si="4"/>
        <v>13816.913002985861</v>
      </c>
      <c r="K63" s="248"/>
      <c r="L63" s="248"/>
      <c r="M63" s="248"/>
      <c r="N63" s="15"/>
      <c r="O63" s="15"/>
      <c r="P63" s="15"/>
      <c r="AC63" s="1"/>
      <c r="AD63" s="1"/>
      <c r="AE63" s="1"/>
      <c r="AF63" s="1"/>
      <c r="AG63" s="1"/>
      <c r="AH63" s="1"/>
      <c r="AI63" s="1"/>
      <c r="AJ63" s="1"/>
      <c r="AK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row>
    <row r="64" spans="1:84" ht="15.75" x14ac:dyDescent="0.25">
      <c r="A64" s="187"/>
      <c r="B64" s="42" t="s">
        <v>168</v>
      </c>
      <c r="C64" s="245">
        <f>IFERROR(INDEX(Codes!$N$11:$AK$48,MATCH($C$59,Codes!$N$11:$N$48,0),MATCH($B64,Codes!$N$11:$AK$11,0)),0)</f>
        <v>20.7</v>
      </c>
      <c r="D64" s="187">
        <f t="shared" si="1"/>
        <v>2</v>
      </c>
      <c r="E64" s="179">
        <v>27</v>
      </c>
      <c r="F64" s="1"/>
      <c r="G64" s="246">
        <v>5</v>
      </c>
      <c r="H64" s="280">
        <f t="shared" si="2"/>
        <v>-19396.73759578705</v>
      </c>
      <c r="I64" s="281">
        <f t="shared" si="5"/>
        <v>242172.79233854049</v>
      </c>
      <c r="J64" s="247">
        <f t="shared" si="4"/>
        <v>17827.207661459524</v>
      </c>
      <c r="K64" s="248"/>
      <c r="L64" s="248"/>
      <c r="M64" s="248"/>
      <c r="N64" s="15"/>
      <c r="O64" s="15"/>
      <c r="P64" s="15"/>
      <c r="AC64" s="1"/>
      <c r="AD64" s="1"/>
      <c r="AE64" s="1"/>
      <c r="AF64" s="1"/>
      <c r="AG64" s="1"/>
      <c r="AH64" s="1"/>
      <c r="AI64" s="1"/>
      <c r="AJ64" s="1"/>
      <c r="AK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row>
    <row r="65" spans="1:84" ht="15.75" x14ac:dyDescent="0.25">
      <c r="A65" s="105"/>
      <c r="B65" s="42" t="s">
        <v>170</v>
      </c>
      <c r="C65" s="245">
        <f>IFERROR(INDEX(Codes!$N$11:$AK$48,MATCH($C$59,Codes!$N$11:$N$48,0),MATCH($B65,Codes!$N$11:$AK$11,0)),0)</f>
        <v>45.9</v>
      </c>
      <c r="D65" s="187">
        <f t="shared" si="1"/>
        <v>2</v>
      </c>
      <c r="E65" s="179">
        <v>50</v>
      </c>
      <c r="F65" s="1"/>
      <c r="G65" s="246">
        <v>6</v>
      </c>
      <c r="H65" s="280">
        <f t="shared" si="2"/>
        <v>-19396.73759578705</v>
      </c>
      <c r="I65" s="281">
        <f t="shared" si="5"/>
        <v>237911.85426391222</v>
      </c>
      <c r="J65" s="247">
        <f t="shared" si="4"/>
        <v>22088.145736087794</v>
      </c>
      <c r="K65" s="248"/>
      <c r="L65" s="248"/>
      <c r="M65" s="248"/>
      <c r="N65" s="15"/>
      <c r="O65" s="15"/>
      <c r="P65" s="15"/>
      <c r="AC65" s="1"/>
      <c r="AD65" s="1"/>
      <c r="AE65" s="1"/>
      <c r="AF65" s="1"/>
      <c r="AG65" s="1"/>
      <c r="AH65" s="1"/>
      <c r="AI65" s="1"/>
      <c r="AJ65" s="1"/>
      <c r="AK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row>
    <row r="66" spans="1:84" ht="15.75" x14ac:dyDescent="0.25">
      <c r="A66" s="105"/>
      <c r="B66" s="42" t="s">
        <v>171</v>
      </c>
      <c r="C66" s="245">
        <f>IFERROR(INDEX(Codes!$N$11:$AK$48,MATCH($C$59,Codes!$N$11:$N$48,0),MATCH($B66,Codes!$N$11:$AK$11,0)),0)</f>
        <v>37.200000000000003</v>
      </c>
      <c r="D66" s="187">
        <f t="shared" si="1"/>
        <v>0</v>
      </c>
      <c r="E66" s="179">
        <v>36.1</v>
      </c>
      <c r="F66" s="1"/>
      <c r="G66" s="246">
        <v>7</v>
      </c>
      <c r="H66" s="280">
        <f t="shared" si="2"/>
        <v>-19396.73759578705</v>
      </c>
      <c r="I66" s="281">
        <f t="shared" si="5"/>
        <v>233384.60755961968</v>
      </c>
      <c r="J66" s="247">
        <f t="shared" si="4"/>
        <v>26615.392440380332</v>
      </c>
      <c r="K66" s="248"/>
      <c r="L66" s="248"/>
      <c r="M66" s="248"/>
      <c r="N66" s="15"/>
      <c r="O66" s="15"/>
      <c r="P66" s="15"/>
      <c r="AC66" s="1"/>
      <c r="AD66" s="1"/>
      <c r="AE66" s="1"/>
      <c r="AF66" s="1"/>
      <c r="AG66" s="1"/>
      <c r="AH66" s="1"/>
      <c r="AI66" s="1"/>
      <c r="AJ66" s="1"/>
      <c r="AK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row>
    <row r="67" spans="1:84" ht="15.75" x14ac:dyDescent="0.25">
      <c r="A67" s="105"/>
      <c r="B67" s="42" t="s">
        <v>173</v>
      </c>
      <c r="C67" s="245">
        <f>IFERROR(INDEX(Codes!$N$11:$AK$48,MATCH($C$59,Codes!$N$11:$N$48,0),MATCH($B67,Codes!$N$11:$AK$11,0)),0)</f>
        <v>112.9</v>
      </c>
      <c r="D67" s="187">
        <f t="shared" si="1"/>
        <v>0</v>
      </c>
      <c r="E67" s="179">
        <v>100</v>
      </c>
      <c r="F67" s="1"/>
      <c r="G67" s="246">
        <v>8</v>
      </c>
      <c r="H67" s="280">
        <f t="shared" si="2"/>
        <v>-19396.73759578705</v>
      </c>
      <c r="I67" s="281">
        <f t="shared" si="5"/>
        <v>228574.40793630885</v>
      </c>
      <c r="J67" s="247">
        <f t="shared" si="4"/>
        <v>31425.592063691151</v>
      </c>
      <c r="K67" s="248"/>
      <c r="L67" s="248"/>
      <c r="M67" s="248"/>
      <c r="N67" s="15"/>
      <c r="O67" s="15"/>
      <c r="P67" s="15"/>
      <c r="AC67" s="1"/>
      <c r="AD67" s="1"/>
      <c r="AE67" s="1"/>
      <c r="AF67" s="1"/>
      <c r="AG67" s="1"/>
      <c r="AH67" s="1"/>
      <c r="AI67" s="1"/>
      <c r="AJ67" s="1"/>
      <c r="AK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row>
    <row r="68" spans="1:84" ht="15.75" x14ac:dyDescent="0.25">
      <c r="A68" s="105"/>
      <c r="B68" s="42" t="s">
        <v>174</v>
      </c>
      <c r="C68" s="245">
        <f>IFERROR(INDEX(Codes!$N$11:$AK$48,MATCH($C$59,Codes!$N$11:$N$48,0),MATCH($B68,Codes!$N$11:$AK$11,0)),0)</f>
        <v>62.2</v>
      </c>
      <c r="D68" s="187">
        <f t="shared" si="1"/>
        <v>0</v>
      </c>
      <c r="E68" s="179">
        <v>48</v>
      </c>
      <c r="F68" s="1"/>
      <c r="G68" s="246">
        <v>9</v>
      </c>
      <c r="H68" s="280">
        <f t="shared" si="2"/>
        <v>-19396.73759578705</v>
      </c>
      <c r="I68" s="281">
        <f t="shared" si="5"/>
        <v>223463.5708365411</v>
      </c>
      <c r="J68" s="247">
        <f t="shared" si="4"/>
        <v>36536.429163458895</v>
      </c>
      <c r="K68" s="248"/>
      <c r="L68" s="248"/>
      <c r="M68" s="248"/>
      <c r="N68" s="15"/>
      <c r="O68" s="15"/>
      <c r="P68" s="15"/>
      <c r="AC68" s="1"/>
      <c r="AD68" s="1"/>
      <c r="AE68" s="1"/>
      <c r="AF68" s="1"/>
      <c r="AG68" s="1"/>
      <c r="AH68" s="1"/>
      <c r="AI68" s="1"/>
      <c r="AJ68" s="1"/>
      <c r="AK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row>
    <row r="69" spans="1:84" ht="15.75" x14ac:dyDescent="0.25">
      <c r="A69" s="105"/>
      <c r="B69" s="42" t="s">
        <v>175</v>
      </c>
      <c r="C69" s="245">
        <f>IFERROR(INDEX(Codes!$N$11:$AK$48,MATCH($C$59,Codes!$N$11:$N$48,0),MATCH($B69,Codes!$N$11:$AK$11,0)),0)</f>
        <v>33.4</v>
      </c>
      <c r="D69" s="187">
        <f t="shared" si="1"/>
        <v>0</v>
      </c>
      <c r="E69" s="179">
        <v>27</v>
      </c>
      <c r="F69" s="1"/>
      <c r="G69" s="246">
        <v>10</v>
      </c>
      <c r="H69" s="280">
        <f t="shared" si="2"/>
        <v>-19396.73759578705</v>
      </c>
      <c r="I69" s="281">
        <f t="shared" si="5"/>
        <v>218033.30641803786</v>
      </c>
      <c r="J69" s="247">
        <f t="shared" si="4"/>
        <v>41966.693581962129</v>
      </c>
      <c r="K69" s="248"/>
      <c r="L69" s="248"/>
      <c r="M69" s="248"/>
      <c r="N69" s="15"/>
      <c r="O69" s="15"/>
      <c r="P69" s="15"/>
      <c r="AC69" s="1"/>
      <c r="AD69" s="1"/>
      <c r="AE69" s="1"/>
      <c r="AF69" s="1"/>
      <c r="AG69" s="1"/>
      <c r="AH69" s="1"/>
      <c r="AI69" s="1"/>
      <c r="AJ69" s="1"/>
      <c r="AK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row>
    <row r="70" spans="1:84" ht="15.75" x14ac:dyDescent="0.25">
      <c r="A70" s="49"/>
      <c r="B70" s="42" t="s">
        <v>176</v>
      </c>
      <c r="C70" s="245">
        <f>IFERROR(INDEX(Codes!$N$11:$AK$48,MATCH($C$59,Codes!$N$11:$N$48,0),MATCH($B70,Codes!$N$11:$AK$11,0)),0)</f>
        <v>65.7</v>
      </c>
      <c r="D70" s="187">
        <f t="shared" si="1"/>
        <v>0</v>
      </c>
      <c r="E70" s="179">
        <v>48</v>
      </c>
      <c r="F70" s="1"/>
      <c r="G70" s="246">
        <v>11</v>
      </c>
      <c r="H70" s="280">
        <f t="shared" si="2"/>
        <v>-19396.73759578705</v>
      </c>
      <c r="I70" s="281">
        <f t="shared" si="5"/>
        <v>212263.65047337816</v>
      </c>
      <c r="J70" s="247">
        <f t="shared" si="4"/>
        <v>47736.349526621809</v>
      </c>
      <c r="K70" s="248"/>
      <c r="L70" s="248"/>
      <c r="M70" s="248"/>
      <c r="N70" s="15"/>
      <c r="O70" s="15"/>
      <c r="P70" s="15"/>
      <c r="AC70" s="1"/>
      <c r="AD70" s="1"/>
      <c r="AE70" s="1"/>
      <c r="AF70" s="1"/>
      <c r="AG70" s="1"/>
      <c r="AH70" s="1"/>
      <c r="AI70" s="1"/>
      <c r="AJ70" s="1"/>
      <c r="AK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row>
    <row r="71" spans="1:84" ht="15.75" x14ac:dyDescent="0.25">
      <c r="A71" s="49"/>
      <c r="B71" s="42" t="s">
        <v>177</v>
      </c>
      <c r="C71" s="245">
        <f>IFERROR(INDEX(Codes!$N$11:$AK$48,MATCH($C$59,Codes!$N$11:$N$48,0),MATCH($B71,Codes!$N$11:$AK$11,0)),0)</f>
        <v>93.5</v>
      </c>
      <c r="D71" s="187">
        <f t="shared" si="1"/>
        <v>0</v>
      </c>
      <c r="E71" s="179">
        <v>88</v>
      </c>
      <c r="F71" s="1"/>
      <c r="G71" s="246">
        <v>12</v>
      </c>
      <c r="H71" s="280">
        <f t="shared" si="2"/>
        <v>-19396.73759578705</v>
      </c>
      <c r="I71" s="281">
        <f t="shared" si="5"/>
        <v>206133.39103217726</v>
      </c>
      <c r="J71" s="247">
        <f t="shared" si="4"/>
        <v>53866.608967822722</v>
      </c>
      <c r="K71" s="248"/>
      <c r="L71" s="248"/>
      <c r="M71" s="248"/>
      <c r="N71" s="15"/>
      <c r="O71" s="15"/>
      <c r="P71" s="15"/>
      <c r="AC71" s="1"/>
      <c r="AD71" s="1"/>
      <c r="AE71" s="1"/>
      <c r="AF71" s="1"/>
      <c r="AG71" s="1"/>
      <c r="AH71" s="1"/>
      <c r="AI71" s="1"/>
      <c r="AJ71" s="1"/>
      <c r="AK71" s="1"/>
      <c r="AL71" s="100"/>
      <c r="AM71" s="44"/>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row>
    <row r="72" spans="1:84" ht="15.75" x14ac:dyDescent="0.25">
      <c r="A72" s="49"/>
      <c r="B72" s="42" t="s">
        <v>178</v>
      </c>
      <c r="C72" s="245">
        <f>IFERROR(INDEX(Codes!$N$11:$AK$48,MATCH($C$59,Codes!$N$11:$N$48,0),MATCH($B72,Codes!$N$11:$AK$11,0)),0)</f>
        <v>23.6</v>
      </c>
      <c r="D72" s="187">
        <f t="shared" si="1"/>
        <v>0</v>
      </c>
      <c r="E72" s="179">
        <v>15</v>
      </c>
      <c r="F72" s="1"/>
      <c r="G72" s="246">
        <v>13</v>
      </c>
      <c r="H72" s="280">
        <f t="shared" si="2"/>
        <v>-19396.73759578705</v>
      </c>
      <c r="I72" s="281">
        <f t="shared" si="5"/>
        <v>199619.99037590128</v>
      </c>
      <c r="J72" s="247">
        <f t="shared" si="4"/>
        <v>60380.00962409869</v>
      </c>
      <c r="K72" s="248"/>
      <c r="L72" s="248"/>
      <c r="M72" s="248"/>
      <c r="N72" s="15"/>
      <c r="O72" s="15"/>
      <c r="P72" s="15"/>
      <c r="AC72" s="1"/>
      <c r="AD72" s="1"/>
      <c r="AE72" s="1"/>
      <c r="AF72" s="1"/>
      <c r="AG72" s="1"/>
      <c r="AH72" s="1"/>
      <c r="AI72" s="1"/>
      <c r="AJ72" s="1"/>
      <c r="AK72" s="1"/>
      <c r="AL72" s="100"/>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row>
    <row r="73" spans="1:84" ht="15.75" x14ac:dyDescent="0.25">
      <c r="A73" s="105"/>
      <c r="B73" s="42" t="s">
        <v>180</v>
      </c>
      <c r="C73" s="245">
        <f>IFERROR(INDEX(Codes!$N$11:$AK$48,MATCH($C$59,Codes!$N$11:$N$48,0),MATCH($B73,Codes!$N$11:$AK$11,0)),0)</f>
        <v>53.2</v>
      </c>
      <c r="D73" s="187">
        <f t="shared" si="1"/>
        <v>0</v>
      </c>
      <c r="E73" s="179">
        <v>40</v>
      </c>
      <c r="F73" s="1"/>
      <c r="G73" s="246">
        <v>14</v>
      </c>
      <c r="H73" s="280">
        <f t="shared" si="2"/>
        <v>-19396.73759578705</v>
      </c>
      <c r="I73" s="281">
        <f t="shared" si="5"/>
        <v>192699.50217860806</v>
      </c>
      <c r="J73" s="247">
        <f t="shared" si="4"/>
        <v>67300.497821391909</v>
      </c>
      <c r="K73" s="248"/>
      <c r="L73" s="248"/>
      <c r="M73" s="248"/>
      <c r="N73" s="15"/>
      <c r="O73" s="15"/>
      <c r="P73" s="15"/>
      <c r="AC73" s="1"/>
      <c r="AD73" s="1"/>
      <c r="AE73" s="1"/>
      <c r="AF73" s="1"/>
      <c r="AG73" s="1"/>
      <c r="AH73" s="1"/>
      <c r="AI73" s="1"/>
      <c r="AJ73" s="1"/>
      <c r="AK73" s="1"/>
      <c r="AL73" s="100"/>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row>
    <row r="74" spans="1:84" ht="15.75" x14ac:dyDescent="0.25">
      <c r="A74" s="105"/>
      <c r="B74" s="42" t="s">
        <v>181</v>
      </c>
      <c r="C74" s="245">
        <f>IFERROR(INDEX(Codes!$N$11:$AK$48,MATCH($C$59,Codes!$N$11:$N$48,0),MATCH($B74,Codes!$N$11:$AK$11,0)),0)</f>
        <v>68.099999999999994</v>
      </c>
      <c r="D74" s="187">
        <f t="shared" si="1"/>
        <v>0</v>
      </c>
      <c r="E74" s="179">
        <v>47</v>
      </c>
      <c r="F74" s="1"/>
      <c r="G74" s="250">
        <v>15</v>
      </c>
      <c r="H74" s="107">
        <f t="shared" si="2"/>
        <v>-19396.73759578705</v>
      </c>
      <c r="I74" s="251">
        <f t="shared" si="5"/>
        <v>185346.48346898402</v>
      </c>
      <c r="J74" s="252">
        <f t="shared" si="4"/>
        <v>74653.51653101595</v>
      </c>
      <c r="K74" s="248"/>
      <c r="L74" s="248"/>
      <c r="M74" s="248"/>
      <c r="N74" s="15"/>
      <c r="O74" s="15"/>
      <c r="P74" s="15"/>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row>
    <row r="75" spans="1:84" ht="15.75" x14ac:dyDescent="0.25">
      <c r="A75" s="105"/>
      <c r="B75" s="42" t="s">
        <v>182</v>
      </c>
      <c r="C75" s="245">
        <f>IFERROR(INDEX(Codes!$N$11:$AK$48,MATCH($C$59,Codes!$N$11:$N$48,0),MATCH($B75,Codes!$N$11:$AK$11,0)),0)</f>
        <v>39</v>
      </c>
      <c r="D75" s="187">
        <f t="shared" si="1"/>
        <v>0</v>
      </c>
      <c r="E75" s="179">
        <v>28</v>
      </c>
      <c r="F75" s="1"/>
      <c r="G75" s="1"/>
      <c r="H75" s="1"/>
      <c r="I75" s="1"/>
      <c r="J75" s="1"/>
      <c r="K75" s="248"/>
      <c r="L75" s="248"/>
      <c r="M75" s="248"/>
      <c r="N75" s="15"/>
      <c r="O75" s="15"/>
      <c r="P75" s="15"/>
      <c r="V75" s="100"/>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row>
    <row r="76" spans="1:84" ht="15.75" x14ac:dyDescent="0.25">
      <c r="A76" s="105"/>
      <c r="B76" s="42" t="s">
        <v>183</v>
      </c>
      <c r="C76" s="245">
        <f>IFERROR(INDEX(Codes!$N$11:$AK$48,MATCH($C$59,Codes!$N$11:$N$48,0),MATCH($B76,Codes!$N$11:$AK$11,0)),0)</f>
        <v>65.3</v>
      </c>
      <c r="D76" s="187">
        <f t="shared" si="1"/>
        <v>0</v>
      </c>
      <c r="E76" s="179">
        <v>41</v>
      </c>
      <c r="F76" s="1"/>
      <c r="G76" s="1"/>
      <c r="H76" s="1"/>
      <c r="I76" s="1"/>
      <c r="J76" s="1"/>
      <c r="K76" s="253"/>
      <c r="L76" s="15"/>
      <c r="M76" s="15"/>
      <c r="N76" s="15"/>
      <c r="O76" s="15"/>
      <c r="P76" s="15"/>
      <c r="V76" s="100"/>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row>
    <row r="77" spans="1:84" ht="15.75" x14ac:dyDescent="0.25">
      <c r="A77" s="187"/>
      <c r="B77" s="42" t="s">
        <v>199</v>
      </c>
      <c r="C77" s="245"/>
      <c r="D77" s="108"/>
      <c r="E77" s="179">
        <v>0</v>
      </c>
      <c r="F77" s="43"/>
      <c r="G77" s="1"/>
      <c r="H77" s="106"/>
      <c r="I77" s="106"/>
      <c r="J77" s="100"/>
      <c r="K77" s="15"/>
      <c r="L77" s="15"/>
      <c r="M77" s="15"/>
      <c r="N77" s="15"/>
      <c r="O77" s="15"/>
      <c r="P77" s="15"/>
      <c r="V77" s="100"/>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row>
    <row r="78" spans="1:84" ht="15.75" x14ac:dyDescent="0.25">
      <c r="A78" s="187"/>
      <c r="B78" s="42" t="s">
        <v>201</v>
      </c>
      <c r="C78" s="245"/>
      <c r="D78" s="108"/>
      <c r="E78" s="179">
        <v>0</v>
      </c>
      <c r="F78" s="1"/>
      <c r="G78" s="1"/>
      <c r="H78" s="106"/>
      <c r="I78" s="106"/>
      <c r="J78" s="100"/>
      <c r="K78" s="15"/>
      <c r="L78" s="15"/>
      <c r="M78" s="15"/>
      <c r="N78" s="15"/>
      <c r="O78" s="15"/>
      <c r="P78" s="15"/>
      <c r="V78" s="100"/>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row>
    <row r="79" spans="1:84" ht="15.75" x14ac:dyDescent="0.25">
      <c r="A79" s="187"/>
      <c r="B79" s="254" t="s">
        <v>290</v>
      </c>
      <c r="C79" s="245"/>
      <c r="D79" s="20"/>
      <c r="E79" s="179">
        <v>0</v>
      </c>
      <c r="F79" s="1"/>
      <c r="G79" s="1"/>
      <c r="H79" s="106"/>
      <c r="I79" s="106"/>
      <c r="J79" s="100"/>
      <c r="K79" s="1"/>
      <c r="L79" s="1"/>
      <c r="M79" s="1"/>
      <c r="N79" s="1"/>
      <c r="O79" s="1"/>
      <c r="P79" s="1"/>
      <c r="V79" s="100"/>
      <c r="AC79" s="1"/>
      <c r="AD79" s="106"/>
      <c r="AE79" s="106"/>
      <c r="AF79" s="106"/>
      <c r="AG79" s="106"/>
      <c r="AH79" s="106"/>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row>
    <row r="80" spans="1:84" ht="15.75" x14ac:dyDescent="0.25">
      <c r="A80" s="1"/>
      <c r="B80" s="254" t="s">
        <v>290</v>
      </c>
      <c r="C80" s="245"/>
      <c r="D80" s="20"/>
      <c r="E80" s="179">
        <v>0</v>
      </c>
      <c r="F80" s="1"/>
      <c r="G80" s="1"/>
      <c r="H80" s="106"/>
      <c r="I80" s="106"/>
      <c r="J80" s="100"/>
      <c r="K80" s="1"/>
      <c r="L80" s="1"/>
      <c r="M80" s="1"/>
      <c r="N80" s="1"/>
      <c r="O80" s="1"/>
      <c r="P80" s="1"/>
      <c r="V80" s="100"/>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row>
    <row r="81" spans="1:84" ht="15.75" x14ac:dyDescent="0.25">
      <c r="A81" s="1"/>
      <c r="B81" s="254" t="s">
        <v>290</v>
      </c>
      <c r="C81" s="245"/>
      <c r="D81" s="20"/>
      <c r="E81" s="179">
        <v>0</v>
      </c>
      <c r="F81" s="1"/>
      <c r="G81" s="1"/>
      <c r="H81" s="106"/>
      <c r="I81" s="106"/>
      <c r="J81" s="100"/>
      <c r="K81" s="1"/>
      <c r="L81" s="1"/>
      <c r="M81" s="1"/>
      <c r="N81" s="1"/>
      <c r="O81" s="1"/>
      <c r="P81" s="1"/>
      <c r="V81" s="100"/>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row>
    <row r="82" spans="1:84" ht="15.75" x14ac:dyDescent="0.25">
      <c r="A82" s="1"/>
      <c r="B82" s="254" t="s">
        <v>290</v>
      </c>
      <c r="C82" s="245"/>
      <c r="D82" s="20"/>
      <c r="E82" s="179">
        <v>0</v>
      </c>
      <c r="F82" s="1"/>
      <c r="G82" s="1"/>
      <c r="H82" s="106"/>
      <c r="I82" s="106"/>
      <c r="J82" s="100"/>
      <c r="K82" s="1"/>
      <c r="L82" s="1"/>
      <c r="M82" s="1"/>
      <c r="N82" s="1"/>
      <c r="O82" s="1"/>
      <c r="P82" s="1"/>
      <c r="V82" s="100"/>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row>
    <row r="83" spans="1:84" ht="15.75" x14ac:dyDescent="0.25">
      <c r="A83" s="1"/>
      <c r="B83" s="254" t="s">
        <v>290</v>
      </c>
      <c r="C83" s="245"/>
      <c r="D83" s="20"/>
      <c r="E83" s="179">
        <v>0</v>
      </c>
      <c r="F83" s="43"/>
      <c r="G83" s="1"/>
      <c r="H83" s="106"/>
      <c r="I83" s="106"/>
      <c r="J83" s="100"/>
      <c r="K83" s="1"/>
      <c r="L83" s="1"/>
      <c r="M83" s="1"/>
      <c r="N83" s="1"/>
      <c r="O83" s="1"/>
      <c r="P83" s="1"/>
      <c r="V83" s="100"/>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row>
    <row r="84" spans="1:84" ht="15.75" x14ac:dyDescent="0.25">
      <c r="A84" s="1"/>
      <c r="B84" s="254" t="s">
        <v>290</v>
      </c>
      <c r="C84" s="245"/>
      <c r="D84" s="20"/>
      <c r="E84" s="179">
        <v>0</v>
      </c>
      <c r="F84" s="19"/>
      <c r="G84" s="1"/>
      <c r="H84" s="106"/>
      <c r="I84" s="106"/>
      <c r="J84" s="100"/>
      <c r="K84" s="1"/>
      <c r="L84" s="1"/>
      <c r="M84" s="1"/>
      <c r="N84" s="1"/>
      <c r="O84" s="1"/>
      <c r="P84" s="1"/>
      <c r="V84" s="100"/>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row>
    <row r="85" spans="1:84" ht="15.75" x14ac:dyDescent="0.25">
      <c r="A85" s="1"/>
      <c r="B85" s="255" t="s">
        <v>202</v>
      </c>
      <c r="C85" s="256"/>
      <c r="D85" s="257"/>
      <c r="E85" s="135">
        <f>SUM($E$60:$E$84)</f>
        <v>1154.6526460728278</v>
      </c>
      <c r="F85" s="43"/>
      <c r="G85" s="1"/>
      <c r="H85" s="1"/>
      <c r="I85" s="1"/>
      <c r="J85" s="1"/>
      <c r="K85" s="1"/>
      <c r="L85" s="1"/>
      <c r="M85" s="1"/>
      <c r="N85" s="1"/>
      <c r="O85" s="1"/>
      <c r="P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row>
    <row r="86" spans="1:84" x14ac:dyDescent="0.25">
      <c r="A86" s="1"/>
      <c r="B86" s="42" t="s">
        <v>203</v>
      </c>
      <c r="C86" s="114"/>
      <c r="D86" s="258"/>
      <c r="E86" s="56">
        <f>E57-E85</f>
        <v>224.0012000810184</v>
      </c>
      <c r="F86" s="15"/>
      <c r="G86" s="1"/>
      <c r="H86" s="1"/>
      <c r="I86" s="1"/>
      <c r="J86" s="1"/>
      <c r="K86" s="1"/>
      <c r="L86" s="1"/>
      <c r="M86" s="1"/>
      <c r="N86" s="1"/>
      <c r="O86" s="1"/>
      <c r="P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row>
    <row r="87" spans="1:84" x14ac:dyDescent="0.25">
      <c r="A87" s="1"/>
      <c r="B87" s="259" t="s">
        <v>212</v>
      </c>
      <c r="C87" s="260"/>
      <c r="D87" s="261"/>
      <c r="E87" s="262">
        <f>E86*52</f>
        <v>11648.062404212957</v>
      </c>
      <c r="F87" s="15"/>
      <c r="G87" s="1"/>
      <c r="H87" s="15"/>
      <c r="I87" s="1"/>
      <c r="J87" s="1"/>
      <c r="K87" s="1"/>
      <c r="L87" s="1"/>
      <c r="M87" s="1"/>
      <c r="N87" s="1"/>
      <c r="O87" s="1"/>
      <c r="P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row>
    <row r="88" spans="1:84" s="1" customFormat="1" x14ac:dyDescent="0.25">
      <c r="G88" s="15"/>
      <c r="H88" s="15"/>
    </row>
    <row r="89" spans="1:84" s="1" customFormat="1" x14ac:dyDescent="0.25"/>
    <row r="90" spans="1:84" s="1" customFormat="1" x14ac:dyDescent="0.25">
      <c r="B90" s="138" t="s">
        <v>449</v>
      </c>
    </row>
    <row r="91" spans="1:84" s="1" customFormat="1" hidden="1" x14ac:dyDescent="0.25"/>
    <row r="92" spans="1:84" s="1" customFormat="1" hidden="1" x14ac:dyDescent="0.25">
      <c r="B92" s="263" t="s">
        <v>344</v>
      </c>
    </row>
    <row r="93" spans="1:84" s="1" customFormat="1" hidden="1" x14ac:dyDescent="0.25">
      <c r="B93" s="223"/>
    </row>
    <row r="94" spans="1:84" s="1" customFormat="1" hidden="1" x14ac:dyDescent="0.25">
      <c r="B94" s="263" t="s">
        <v>291</v>
      </c>
    </row>
    <row r="95" spans="1:84" s="1" customFormat="1" hidden="1" x14ac:dyDescent="0.25">
      <c r="B95" s="263" t="s">
        <v>332</v>
      </c>
    </row>
    <row r="96" spans="1:84" s="1" customFormat="1" hidden="1" x14ac:dyDescent="0.25">
      <c r="B96" s="263" t="s">
        <v>292</v>
      </c>
    </row>
    <row r="97" spans="2:20" s="1" customFormat="1" hidden="1" x14ac:dyDescent="0.25">
      <c r="B97" s="263" t="s">
        <v>293</v>
      </c>
    </row>
    <row r="98" spans="2:20" s="1" customFormat="1" x14ac:dyDescent="0.25"/>
    <row r="99" spans="2:20" s="1" customFormat="1" x14ac:dyDescent="0.25">
      <c r="B99" s="283"/>
      <c r="C99" s="185"/>
      <c r="D99" s="185"/>
      <c r="E99" s="284" t="s">
        <v>204</v>
      </c>
      <c r="F99" s="284" t="s">
        <v>205</v>
      </c>
      <c r="G99" s="284" t="s">
        <v>205</v>
      </c>
      <c r="H99" s="284" t="s">
        <v>205</v>
      </c>
      <c r="I99" s="284" t="s">
        <v>205</v>
      </c>
      <c r="J99" s="284" t="s">
        <v>205</v>
      </c>
      <c r="K99" s="284" t="s">
        <v>205</v>
      </c>
      <c r="L99" s="284" t="s">
        <v>205</v>
      </c>
      <c r="M99" s="264" t="s">
        <v>205</v>
      </c>
      <c r="N99" s="185" t="s">
        <v>205</v>
      </c>
      <c r="O99" s="284" t="s">
        <v>205</v>
      </c>
      <c r="P99" s="264" t="s">
        <v>205</v>
      </c>
      <c r="Q99" s="264" t="s">
        <v>205</v>
      </c>
      <c r="R99" s="264" t="s">
        <v>205</v>
      </c>
      <c r="S99" s="264" t="s">
        <v>205</v>
      </c>
      <c r="T99" s="186" t="s">
        <v>205</v>
      </c>
    </row>
    <row r="100" spans="2:20" s="1" customFormat="1" x14ac:dyDescent="0.25">
      <c r="B100" s="140"/>
      <c r="C100" s="141"/>
      <c r="D100" s="142"/>
      <c r="E100" s="139" t="s">
        <v>206</v>
      </c>
      <c r="F100" s="143">
        <v>1</v>
      </c>
      <c r="G100" s="143">
        <v>2</v>
      </c>
      <c r="H100" s="143">
        <v>3</v>
      </c>
      <c r="I100" s="143">
        <v>4</v>
      </c>
      <c r="J100" s="143">
        <v>5</v>
      </c>
      <c r="K100" s="143">
        <v>6</v>
      </c>
      <c r="L100" s="143">
        <v>7</v>
      </c>
      <c r="M100" s="144">
        <v>8</v>
      </c>
      <c r="N100" s="145">
        <v>9</v>
      </c>
      <c r="O100" s="143">
        <v>10</v>
      </c>
      <c r="P100" s="144">
        <v>11</v>
      </c>
      <c r="Q100" s="144">
        <v>12</v>
      </c>
      <c r="R100" s="144">
        <v>13</v>
      </c>
      <c r="S100" s="144">
        <v>14</v>
      </c>
      <c r="T100" s="146">
        <v>15</v>
      </c>
    </row>
    <row r="101" spans="2:20" s="1" customFormat="1" x14ac:dyDescent="0.25">
      <c r="B101" s="265" t="s">
        <v>213</v>
      </c>
      <c r="C101" s="616" t="s">
        <v>331</v>
      </c>
      <c r="D101" s="617"/>
      <c r="E101" s="147"/>
      <c r="F101" s="127"/>
      <c r="G101" s="119"/>
      <c r="H101" s="119"/>
      <c r="I101" s="119"/>
      <c r="J101" s="119"/>
      <c r="K101" s="119"/>
      <c r="L101" s="119"/>
      <c r="M101" s="118"/>
      <c r="N101" s="285"/>
      <c r="O101" s="119"/>
      <c r="P101" s="118"/>
      <c r="Q101" s="118"/>
      <c r="R101" s="118"/>
      <c r="S101" s="118"/>
      <c r="T101" s="120"/>
    </row>
    <row r="102" spans="2:20" s="1" customFormat="1" x14ac:dyDescent="0.25">
      <c r="B102" s="64" t="s">
        <v>343</v>
      </c>
      <c r="C102" s="600">
        <v>0.02</v>
      </c>
      <c r="D102" s="601"/>
      <c r="E102" s="110">
        <f>E36</f>
        <v>300000</v>
      </c>
      <c r="F102" s="109">
        <f>E102*(1+$C$102)</f>
        <v>306000</v>
      </c>
      <c r="G102" s="109">
        <f>F102*(1+$C$102)</f>
        <v>312120</v>
      </c>
      <c r="H102" s="109">
        <f t="shared" ref="H102:T102" si="6">G102*(1+$C$102)</f>
        <v>318362.40000000002</v>
      </c>
      <c r="I102" s="109">
        <f t="shared" si="6"/>
        <v>324729.64800000004</v>
      </c>
      <c r="J102" s="109">
        <f t="shared" si="6"/>
        <v>331224.24096000002</v>
      </c>
      <c r="K102" s="109">
        <f t="shared" si="6"/>
        <v>337848.72577920003</v>
      </c>
      <c r="L102" s="109">
        <f t="shared" si="6"/>
        <v>344605.70029478404</v>
      </c>
      <c r="M102" s="109">
        <f t="shared" si="6"/>
        <v>351497.81430067972</v>
      </c>
      <c r="N102" s="109">
        <f t="shared" si="6"/>
        <v>358527.77058669331</v>
      </c>
      <c r="O102" s="109">
        <f t="shared" si="6"/>
        <v>365698.32599842717</v>
      </c>
      <c r="P102" s="109">
        <f t="shared" si="6"/>
        <v>373012.2925183957</v>
      </c>
      <c r="Q102" s="109">
        <f t="shared" si="6"/>
        <v>380472.53836876363</v>
      </c>
      <c r="R102" s="109">
        <f t="shared" si="6"/>
        <v>388081.98913613893</v>
      </c>
      <c r="S102" s="109">
        <f t="shared" si="6"/>
        <v>395843.62891886174</v>
      </c>
      <c r="T102" s="286">
        <f t="shared" si="6"/>
        <v>403760.50149723899</v>
      </c>
    </row>
    <row r="103" spans="2:20" s="1" customFormat="1" x14ac:dyDescent="0.25">
      <c r="B103" s="298"/>
      <c r="D103" s="115"/>
      <c r="E103" s="110"/>
      <c r="F103" s="109"/>
      <c r="G103" s="109"/>
      <c r="H103" s="109"/>
      <c r="I103" s="109"/>
      <c r="J103" s="109"/>
      <c r="K103" s="109"/>
      <c r="L103" s="109"/>
      <c r="M103" s="110"/>
      <c r="N103" s="148"/>
      <c r="O103" s="109"/>
      <c r="P103" s="110"/>
      <c r="Q103" s="110"/>
      <c r="R103" s="110"/>
      <c r="S103" s="110"/>
      <c r="T103" s="101"/>
    </row>
    <row r="104" spans="2:20" s="1" customFormat="1" x14ac:dyDescent="0.25">
      <c r="B104" s="102" t="s">
        <v>214</v>
      </c>
      <c r="D104" s="115"/>
      <c r="E104" s="122">
        <f>H54</f>
        <v>260000</v>
      </c>
      <c r="F104" s="121">
        <f>SUMIF($G$60:$G$74,F100,$I$60:$I$74)</f>
        <v>256853.26240421296</v>
      </c>
      <c r="G104" s="121">
        <f t="shared" ref="G104:T104" si="7">SUMIF($G$60:$G$74,G100,$I$60:$I$74)</f>
        <v>253509.85370868922</v>
      </c>
      <c r="H104" s="121">
        <f t="shared" si="7"/>
        <v>249957.48196969525</v>
      </c>
      <c r="I104" s="121">
        <f t="shared" si="7"/>
        <v>246183.08699701415</v>
      </c>
      <c r="J104" s="121">
        <f t="shared" si="7"/>
        <v>242172.79233854049</v>
      </c>
      <c r="K104" s="121">
        <f t="shared" si="7"/>
        <v>237911.85426391222</v>
      </c>
      <c r="L104" s="121">
        <f t="shared" si="7"/>
        <v>233384.60755961968</v>
      </c>
      <c r="M104" s="121">
        <f t="shared" si="7"/>
        <v>228574.40793630885</v>
      </c>
      <c r="N104" s="121">
        <f t="shared" si="7"/>
        <v>223463.5708365411</v>
      </c>
      <c r="O104" s="121">
        <f t="shared" si="7"/>
        <v>218033.30641803786</v>
      </c>
      <c r="P104" s="121">
        <f t="shared" si="7"/>
        <v>212263.65047337816</v>
      </c>
      <c r="Q104" s="121">
        <f t="shared" si="7"/>
        <v>206133.39103217726</v>
      </c>
      <c r="R104" s="121">
        <f t="shared" si="7"/>
        <v>199619.99037590128</v>
      </c>
      <c r="S104" s="121">
        <f t="shared" si="7"/>
        <v>192699.50217860806</v>
      </c>
      <c r="T104" s="290">
        <f t="shared" si="7"/>
        <v>185346.48346898402</v>
      </c>
    </row>
    <row r="105" spans="2:20" s="1" customFormat="1" x14ac:dyDescent="0.25">
      <c r="B105" s="102"/>
      <c r="D105" s="115"/>
      <c r="E105" s="122"/>
      <c r="F105" s="121"/>
      <c r="G105" s="149"/>
      <c r="H105" s="121"/>
      <c r="I105" s="121"/>
      <c r="J105" s="121"/>
      <c r="K105" s="121"/>
      <c r="L105" s="121"/>
      <c r="M105" s="122"/>
      <c r="N105" s="150"/>
      <c r="O105" s="121"/>
      <c r="P105" s="122"/>
      <c r="Q105" s="122"/>
      <c r="R105" s="122"/>
      <c r="S105" s="122"/>
      <c r="T105" s="123"/>
    </row>
    <row r="106" spans="2:20" s="1" customFormat="1" x14ac:dyDescent="0.25">
      <c r="B106" s="102" t="s">
        <v>215</v>
      </c>
      <c r="D106" s="115"/>
      <c r="E106" s="114">
        <v>0</v>
      </c>
      <c r="F106" s="113">
        <f>(F102-E102)</f>
        <v>6000</v>
      </c>
      <c r="G106" s="113">
        <f>(G102-$E$102)</f>
        <v>12120</v>
      </c>
      <c r="H106" s="113">
        <f t="shared" ref="H106:T106" si="8">(H102-$E$102)</f>
        <v>18362.400000000023</v>
      </c>
      <c r="I106" s="113">
        <f t="shared" si="8"/>
        <v>24729.648000000045</v>
      </c>
      <c r="J106" s="113">
        <f t="shared" si="8"/>
        <v>31224.240960000025</v>
      </c>
      <c r="K106" s="113">
        <f t="shared" si="8"/>
        <v>37848.725779200031</v>
      </c>
      <c r="L106" s="113">
        <f t="shared" si="8"/>
        <v>44605.700294784037</v>
      </c>
      <c r="M106" s="113">
        <f t="shared" si="8"/>
        <v>51497.814300679718</v>
      </c>
      <c r="N106" s="113">
        <f t="shared" si="8"/>
        <v>58527.77058669331</v>
      </c>
      <c r="O106" s="113">
        <f t="shared" si="8"/>
        <v>65698.325998427172</v>
      </c>
      <c r="P106" s="113">
        <f t="shared" si="8"/>
        <v>73012.292518395698</v>
      </c>
      <c r="Q106" s="113">
        <f t="shared" si="8"/>
        <v>80472.538368763635</v>
      </c>
      <c r="R106" s="113">
        <f t="shared" si="8"/>
        <v>88081.989136138931</v>
      </c>
      <c r="S106" s="113">
        <f t="shared" si="8"/>
        <v>95843.628918861737</v>
      </c>
      <c r="T106" s="291">
        <f t="shared" si="8"/>
        <v>103760.50149723899</v>
      </c>
    </row>
    <row r="107" spans="2:20" s="1" customFormat="1" x14ac:dyDescent="0.25">
      <c r="B107" s="102" t="s">
        <v>216</v>
      </c>
      <c r="C107" s="287"/>
      <c r="D107" s="188"/>
      <c r="E107" s="125">
        <v>0</v>
      </c>
      <c r="F107" s="126">
        <f>SUMIF($G$60:$G$74,F100,$J$60:$J$74)</f>
        <v>3146.737595787049</v>
      </c>
      <c r="G107" s="126">
        <f>SUMIF($G$60:$G$74,G100,$J$60:$J$74)</f>
        <v>6490.1462913107889</v>
      </c>
      <c r="H107" s="126">
        <f t="shared" ref="H107:T107" si="9">SUMIF($G$60:$G$74,H100,$J$60:$J$74)</f>
        <v>10042.518030304764</v>
      </c>
      <c r="I107" s="126">
        <f t="shared" si="9"/>
        <v>13816.913002985861</v>
      </c>
      <c r="J107" s="126">
        <f t="shared" si="9"/>
        <v>17827.207661459524</v>
      </c>
      <c r="K107" s="126">
        <f t="shared" si="9"/>
        <v>22088.145736087794</v>
      </c>
      <c r="L107" s="126">
        <f t="shared" si="9"/>
        <v>26615.392440380332</v>
      </c>
      <c r="M107" s="126">
        <f t="shared" si="9"/>
        <v>31425.592063691151</v>
      </c>
      <c r="N107" s="126">
        <f t="shared" si="9"/>
        <v>36536.429163458895</v>
      </c>
      <c r="O107" s="126">
        <f t="shared" si="9"/>
        <v>41966.693581962129</v>
      </c>
      <c r="P107" s="126">
        <f t="shared" si="9"/>
        <v>47736.349526621809</v>
      </c>
      <c r="Q107" s="126">
        <f t="shared" si="9"/>
        <v>53866.608967822722</v>
      </c>
      <c r="R107" s="126">
        <f t="shared" si="9"/>
        <v>60380.00962409869</v>
      </c>
      <c r="S107" s="126">
        <f t="shared" si="9"/>
        <v>67300.497821391909</v>
      </c>
      <c r="T107" s="292">
        <f t="shared" si="9"/>
        <v>74653.51653101595</v>
      </c>
    </row>
    <row r="108" spans="2:20" s="1" customFormat="1" x14ac:dyDescent="0.25">
      <c r="B108" s="102" t="s">
        <v>217</v>
      </c>
      <c r="C108" s="287"/>
      <c r="D108" s="188"/>
      <c r="E108" s="114">
        <f>E48</f>
        <v>40000</v>
      </c>
      <c r="F108" s="126">
        <f>E108</f>
        <v>40000</v>
      </c>
      <c r="G108" s="126">
        <f t="shared" ref="G108:T108" si="10">F108</f>
        <v>40000</v>
      </c>
      <c r="H108" s="126">
        <f t="shared" si="10"/>
        <v>40000</v>
      </c>
      <c r="I108" s="126">
        <f t="shared" si="10"/>
        <v>40000</v>
      </c>
      <c r="J108" s="126">
        <f t="shared" si="10"/>
        <v>40000</v>
      </c>
      <c r="K108" s="126">
        <f t="shared" si="10"/>
        <v>40000</v>
      </c>
      <c r="L108" s="126">
        <f t="shared" si="10"/>
        <v>40000</v>
      </c>
      <c r="M108" s="126">
        <f t="shared" si="10"/>
        <v>40000</v>
      </c>
      <c r="N108" s="126">
        <f t="shared" si="10"/>
        <v>40000</v>
      </c>
      <c r="O108" s="126">
        <f t="shared" si="10"/>
        <v>40000</v>
      </c>
      <c r="P108" s="126">
        <f t="shared" si="10"/>
        <v>40000</v>
      </c>
      <c r="Q108" s="126">
        <f t="shared" si="10"/>
        <v>40000</v>
      </c>
      <c r="R108" s="126">
        <f t="shared" si="10"/>
        <v>40000</v>
      </c>
      <c r="S108" s="126">
        <f t="shared" si="10"/>
        <v>40000</v>
      </c>
      <c r="T108" s="292">
        <f t="shared" si="10"/>
        <v>40000</v>
      </c>
    </row>
    <row r="109" spans="2:20" s="1" customFormat="1" x14ac:dyDescent="0.25">
      <c r="B109" s="102" t="s">
        <v>218</v>
      </c>
      <c r="C109" s="287"/>
      <c r="D109" s="188"/>
      <c r="E109" s="114">
        <f>SUM(E106:E108)</f>
        <v>40000</v>
      </c>
      <c r="F109" s="113">
        <f>SUM(F106:F108)</f>
        <v>49146.737595787054</v>
      </c>
      <c r="G109" s="113">
        <f>SUM(G106:G108)</f>
        <v>58610.14629131079</v>
      </c>
      <c r="H109" s="113">
        <f t="shared" ref="H109:S109" si="11">SUM(H106:H108)</f>
        <v>68404.918030304791</v>
      </c>
      <c r="I109" s="113">
        <f>SUM(I106:I108)</f>
        <v>78546.561002985909</v>
      </c>
      <c r="J109" s="113">
        <f>SUM(J106:J108)</f>
        <v>89051.448621459553</v>
      </c>
      <c r="K109" s="113">
        <f t="shared" si="11"/>
        <v>99936.871515287829</v>
      </c>
      <c r="L109" s="113">
        <f t="shared" si="11"/>
        <v>111221.09273516436</v>
      </c>
      <c r="M109" s="114">
        <f t="shared" si="11"/>
        <v>122923.40636437087</v>
      </c>
      <c r="N109" s="20">
        <f t="shared" si="11"/>
        <v>135064.19975015221</v>
      </c>
      <c r="O109" s="113">
        <f t="shared" si="11"/>
        <v>147665.01958038931</v>
      </c>
      <c r="P109" s="114">
        <f t="shared" si="11"/>
        <v>160748.64204501751</v>
      </c>
      <c r="Q109" s="114">
        <f t="shared" si="11"/>
        <v>174339.14733658635</v>
      </c>
      <c r="R109" s="114">
        <f t="shared" si="11"/>
        <v>188461.99876023762</v>
      </c>
      <c r="S109" s="114">
        <f t="shared" si="11"/>
        <v>203144.12674025365</v>
      </c>
      <c r="T109" s="21">
        <f>SUM(T106:T108)</f>
        <v>218414.01802825494</v>
      </c>
    </row>
    <row r="110" spans="2:20" s="1" customFormat="1" x14ac:dyDescent="0.25">
      <c r="B110" s="102"/>
      <c r="C110" s="287"/>
      <c r="D110" s="188"/>
      <c r="E110" s="114"/>
      <c r="F110" s="113"/>
      <c r="G110" s="113"/>
      <c r="H110" s="113"/>
      <c r="I110" s="113"/>
      <c r="J110" s="113"/>
      <c r="K110" s="113"/>
      <c r="L110" s="113"/>
      <c r="M110" s="114"/>
      <c r="N110" s="20"/>
      <c r="O110" s="113"/>
      <c r="P110" s="114"/>
      <c r="Q110" s="114"/>
      <c r="R110" s="114"/>
      <c r="S110" s="114"/>
      <c r="T110" s="21"/>
    </row>
    <row r="111" spans="2:20" s="1" customFormat="1" x14ac:dyDescent="0.25">
      <c r="B111" s="239" t="s">
        <v>219</v>
      </c>
      <c r="C111" s="287"/>
      <c r="D111" s="188"/>
      <c r="E111" s="152">
        <f>E109/E102</f>
        <v>0.13333333333333333</v>
      </c>
      <c r="F111" s="152">
        <f>F109/F102</f>
        <v>0.16061025358100345</v>
      </c>
      <c r="G111" s="152">
        <f t="shared" ref="G111:T111" si="12">G109/G102</f>
        <v>0.18778080959666407</v>
      </c>
      <c r="H111" s="152">
        <f t="shared" si="12"/>
        <v>0.2148649401760534</v>
      </c>
      <c r="I111" s="152">
        <f t="shared" si="12"/>
        <v>0.24188293704240366</v>
      </c>
      <c r="J111" s="152">
        <f t="shared" si="12"/>
        <v>0.26885546892147233</v>
      </c>
      <c r="K111" s="152">
        <f t="shared" si="12"/>
        <v>0.29580360643598003</v>
      </c>
      <c r="L111" s="152">
        <f t="shared" si="12"/>
        <v>0.32274884785719782</v>
      </c>
      <c r="M111" s="152">
        <f t="shared" si="12"/>
        <v>0.34971314575293266</v>
      </c>
      <c r="N111" s="152">
        <f t="shared" si="12"/>
        <v>0.37671893457272149</v>
      </c>
      <c r="O111" s="152">
        <f t="shared" si="12"/>
        <v>0.4037891592126796</v>
      </c>
      <c r="P111" s="152">
        <f t="shared" si="12"/>
        <v>0.43094730460415037</v>
      </c>
      <c r="Q111" s="152">
        <f t="shared" si="12"/>
        <v>0.45821742637207741</v>
      </c>
      <c r="R111" s="152">
        <f t="shared" si="12"/>
        <v>0.48562418261086904</v>
      </c>
      <c r="S111" s="152">
        <f t="shared" si="12"/>
        <v>0.51319286682745424</v>
      </c>
      <c r="T111" s="153">
        <f t="shared" si="12"/>
        <v>0.54094944210323781</v>
      </c>
    </row>
    <row r="112" spans="2:20" s="1" customFormat="1" x14ac:dyDescent="0.25">
      <c r="B112" s="265" t="s">
        <v>220</v>
      </c>
      <c r="C112" s="618" t="s">
        <v>329</v>
      </c>
      <c r="D112" s="619"/>
      <c r="E112" s="154"/>
      <c r="F112" s="119"/>
      <c r="G112" s="119"/>
      <c r="H112" s="119"/>
      <c r="I112" s="119"/>
      <c r="J112" s="119"/>
      <c r="K112" s="119"/>
      <c r="L112" s="119"/>
      <c r="M112" s="118"/>
      <c r="N112" s="285"/>
      <c r="O112" s="119"/>
      <c r="P112" s="118"/>
      <c r="Q112" s="118"/>
      <c r="R112" s="118"/>
      <c r="S112" s="118"/>
      <c r="T112" s="120"/>
    </row>
    <row r="113" spans="2:20" s="1" customFormat="1" x14ac:dyDescent="0.25">
      <c r="B113" s="64"/>
      <c r="C113" s="600">
        <v>0.02</v>
      </c>
      <c r="D113" s="601"/>
      <c r="E113" s="115"/>
      <c r="F113" s="109"/>
      <c r="G113" s="109"/>
      <c r="H113" s="109"/>
      <c r="I113" s="109"/>
      <c r="J113" s="109"/>
      <c r="K113" s="109"/>
      <c r="L113" s="109"/>
      <c r="M113" s="110"/>
      <c r="N113" s="148"/>
      <c r="O113" s="109"/>
      <c r="P113" s="110"/>
      <c r="Q113" s="110"/>
      <c r="R113" s="110"/>
      <c r="S113" s="110"/>
      <c r="T113" s="101"/>
    </row>
    <row r="114" spans="2:20" s="1" customFormat="1" x14ac:dyDescent="0.25">
      <c r="B114" s="102" t="s">
        <v>221</v>
      </c>
      <c r="C114" s="287"/>
      <c r="D114" s="188"/>
      <c r="E114" s="129">
        <f>E32</f>
        <v>100000</v>
      </c>
      <c r="F114" s="128">
        <f>(E114*(1+$C$113))</f>
        <v>102000</v>
      </c>
      <c r="G114" s="128">
        <f t="shared" ref="G114:T114" si="13">(F114*(1+$C$113))</f>
        <v>104040</v>
      </c>
      <c r="H114" s="128">
        <f t="shared" si="13"/>
        <v>106120.8</v>
      </c>
      <c r="I114" s="128">
        <f t="shared" si="13"/>
        <v>108243.216</v>
      </c>
      <c r="J114" s="128">
        <f t="shared" si="13"/>
        <v>110408.08032000001</v>
      </c>
      <c r="K114" s="128">
        <f t="shared" si="13"/>
        <v>112616.24192640001</v>
      </c>
      <c r="L114" s="128">
        <f t="shared" si="13"/>
        <v>114868.56676492801</v>
      </c>
      <c r="M114" s="128">
        <f t="shared" si="13"/>
        <v>117165.93810022657</v>
      </c>
      <c r="N114" s="128">
        <f t="shared" si="13"/>
        <v>119509.25686223111</v>
      </c>
      <c r="O114" s="128">
        <f t="shared" si="13"/>
        <v>121899.44199947573</v>
      </c>
      <c r="P114" s="128">
        <f t="shared" si="13"/>
        <v>124337.43083946525</v>
      </c>
      <c r="Q114" s="128">
        <f t="shared" si="13"/>
        <v>126824.17945625455</v>
      </c>
      <c r="R114" s="128">
        <f t="shared" si="13"/>
        <v>129360.66304537965</v>
      </c>
      <c r="S114" s="128">
        <f t="shared" si="13"/>
        <v>131947.87630628725</v>
      </c>
      <c r="T114" s="293">
        <f t="shared" si="13"/>
        <v>134586.83383241299</v>
      </c>
    </row>
    <row r="115" spans="2:20" s="1" customFormat="1" x14ac:dyDescent="0.25">
      <c r="B115" s="102" t="s">
        <v>222</v>
      </c>
      <c r="C115" s="287"/>
      <c r="D115" s="188"/>
      <c r="E115" s="129">
        <f>-SUMIF($G$60:$G$74,F100,$H$60:$H$74)</f>
        <v>19396.73759578705</v>
      </c>
      <c r="F115" s="129">
        <f>-SUMIF($G$60:$G$74,F100,$H$60:$H$74)</f>
        <v>19396.73759578705</v>
      </c>
      <c r="G115" s="129">
        <f t="shared" ref="G115:T115" si="14">-SUMIF($G$60:$G$74,G100,$H$60:$H$74)</f>
        <v>19396.73759578705</v>
      </c>
      <c r="H115" s="129">
        <f t="shared" si="14"/>
        <v>19396.73759578705</v>
      </c>
      <c r="I115" s="129">
        <f t="shared" si="14"/>
        <v>19396.73759578705</v>
      </c>
      <c r="J115" s="129">
        <f t="shared" si="14"/>
        <v>19396.73759578705</v>
      </c>
      <c r="K115" s="129">
        <f t="shared" si="14"/>
        <v>19396.73759578705</v>
      </c>
      <c r="L115" s="129">
        <f t="shared" si="14"/>
        <v>19396.73759578705</v>
      </c>
      <c r="M115" s="129">
        <f t="shared" si="14"/>
        <v>19396.73759578705</v>
      </c>
      <c r="N115" s="129">
        <f t="shared" si="14"/>
        <v>19396.73759578705</v>
      </c>
      <c r="O115" s="129">
        <f t="shared" si="14"/>
        <v>19396.73759578705</v>
      </c>
      <c r="P115" s="129">
        <f t="shared" si="14"/>
        <v>19396.73759578705</v>
      </c>
      <c r="Q115" s="129">
        <f t="shared" si="14"/>
        <v>19396.73759578705</v>
      </c>
      <c r="R115" s="129">
        <f t="shared" si="14"/>
        <v>19396.73759578705</v>
      </c>
      <c r="S115" s="129">
        <f t="shared" si="14"/>
        <v>19396.73759578705</v>
      </c>
      <c r="T115" s="130">
        <f t="shared" si="14"/>
        <v>19396.73759578705</v>
      </c>
    </row>
    <row r="116" spans="2:20" s="1" customFormat="1" x14ac:dyDescent="0.25">
      <c r="B116" s="102" t="s">
        <v>223</v>
      </c>
      <c r="C116" s="608" t="s">
        <v>42</v>
      </c>
      <c r="D116" s="609"/>
      <c r="E116" s="129">
        <f>($E$68+$E$69)*52</f>
        <v>3900</v>
      </c>
      <c r="F116" s="128">
        <f t="shared" ref="F116:T116" si="15">($E$68+$E$69)*52*(1+$C$113)</f>
        <v>3978</v>
      </c>
      <c r="G116" s="128">
        <f t="shared" si="15"/>
        <v>3978</v>
      </c>
      <c r="H116" s="128">
        <f t="shared" si="15"/>
        <v>3978</v>
      </c>
      <c r="I116" s="128">
        <f t="shared" si="15"/>
        <v>3978</v>
      </c>
      <c r="J116" s="128">
        <f t="shared" si="15"/>
        <v>3978</v>
      </c>
      <c r="K116" s="128">
        <f t="shared" si="15"/>
        <v>3978</v>
      </c>
      <c r="L116" s="128">
        <f t="shared" si="15"/>
        <v>3978</v>
      </c>
      <c r="M116" s="128">
        <f t="shared" si="15"/>
        <v>3978</v>
      </c>
      <c r="N116" s="128">
        <f t="shared" si="15"/>
        <v>3978</v>
      </c>
      <c r="O116" s="128">
        <f t="shared" si="15"/>
        <v>3978</v>
      </c>
      <c r="P116" s="128">
        <f t="shared" si="15"/>
        <v>3978</v>
      </c>
      <c r="Q116" s="128">
        <f t="shared" si="15"/>
        <v>3978</v>
      </c>
      <c r="R116" s="128">
        <f t="shared" si="15"/>
        <v>3978</v>
      </c>
      <c r="S116" s="128">
        <f t="shared" si="15"/>
        <v>3978</v>
      </c>
      <c r="T116" s="293">
        <f t="shared" si="15"/>
        <v>3978</v>
      </c>
    </row>
    <row r="117" spans="2:20" s="1" customFormat="1" x14ac:dyDescent="0.25">
      <c r="B117" s="239" t="s">
        <v>224</v>
      </c>
      <c r="C117" s="611">
        <f>SUM(E117:S117)</f>
        <v>77820.37612292917</v>
      </c>
      <c r="D117" s="612"/>
      <c r="E117" s="117">
        <f>E38</f>
        <v>4500</v>
      </c>
      <c r="F117" s="116">
        <f>E117*(1+$C$102)</f>
        <v>4590</v>
      </c>
      <c r="G117" s="116">
        <f t="shared" ref="G117:T117" si="16">F117*(1+$C$102)</f>
        <v>4681.8</v>
      </c>
      <c r="H117" s="116">
        <f t="shared" si="16"/>
        <v>4775.4360000000006</v>
      </c>
      <c r="I117" s="116">
        <f t="shared" si="16"/>
        <v>4870.9447200000004</v>
      </c>
      <c r="J117" s="116">
        <f t="shared" si="16"/>
        <v>4968.3636144000002</v>
      </c>
      <c r="K117" s="116">
        <f t="shared" si="16"/>
        <v>5067.7308866880003</v>
      </c>
      <c r="L117" s="116">
        <f t="shared" si="16"/>
        <v>5169.0855044217606</v>
      </c>
      <c r="M117" s="116">
        <f t="shared" si="16"/>
        <v>5272.4672145101958</v>
      </c>
      <c r="N117" s="116">
        <f t="shared" si="16"/>
        <v>5377.9165588003998</v>
      </c>
      <c r="O117" s="116">
        <f t="shared" si="16"/>
        <v>5485.4748899764081</v>
      </c>
      <c r="P117" s="116">
        <f t="shared" si="16"/>
        <v>5595.1843877759366</v>
      </c>
      <c r="Q117" s="116">
        <f t="shared" si="16"/>
        <v>5707.0880755314556</v>
      </c>
      <c r="R117" s="116">
        <f t="shared" si="16"/>
        <v>5821.2298370420849</v>
      </c>
      <c r="S117" s="116">
        <f t="shared" si="16"/>
        <v>5937.6544337829264</v>
      </c>
      <c r="T117" s="294">
        <f t="shared" si="16"/>
        <v>6056.4075224585849</v>
      </c>
    </row>
    <row r="118" spans="2:20" s="1" customFormat="1" x14ac:dyDescent="0.25">
      <c r="B118" s="265" t="s">
        <v>207</v>
      </c>
      <c r="C118" s="613" t="s">
        <v>330</v>
      </c>
      <c r="D118" s="614"/>
      <c r="E118" s="154"/>
      <c r="F118" s="119"/>
      <c r="G118" s="119"/>
      <c r="H118" s="119"/>
      <c r="I118" s="119"/>
      <c r="J118" s="119"/>
      <c r="K118" s="119"/>
      <c r="L118" s="119"/>
      <c r="M118" s="118"/>
      <c r="N118" s="285"/>
      <c r="O118" s="119"/>
      <c r="P118" s="118"/>
      <c r="Q118" s="118"/>
      <c r="R118" s="118"/>
      <c r="S118" s="118"/>
      <c r="T118" s="120"/>
    </row>
    <row r="119" spans="2:20" s="1" customFormat="1" x14ac:dyDescent="0.25">
      <c r="B119" s="2" t="s">
        <v>225</v>
      </c>
      <c r="C119" s="65"/>
      <c r="D119" s="111"/>
      <c r="E119" s="121">
        <f>SUM(E$115:E$117)/52</f>
        <v>534.55264607282788</v>
      </c>
      <c r="F119" s="121">
        <f t="shared" ref="F119:T119" si="17">SUM(F$115:F$117)/52</f>
        <v>537.78341530359717</v>
      </c>
      <c r="G119" s="121">
        <f t="shared" si="17"/>
        <v>539.54879991898167</v>
      </c>
      <c r="H119" s="121">
        <f t="shared" si="17"/>
        <v>541.3494922266741</v>
      </c>
      <c r="I119" s="121">
        <f t="shared" si="17"/>
        <v>543.18619838052018</v>
      </c>
      <c r="J119" s="121">
        <f t="shared" si="17"/>
        <v>545.05963865744332</v>
      </c>
      <c r="K119" s="121">
        <f t="shared" si="17"/>
        <v>546.97054773990487</v>
      </c>
      <c r="L119" s="121">
        <f t="shared" si="17"/>
        <v>548.91967500401563</v>
      </c>
      <c r="M119" s="121">
        <f t="shared" si="17"/>
        <v>550.90778481340863</v>
      </c>
      <c r="N119" s="121">
        <f t="shared" si="17"/>
        <v>552.9356568189894</v>
      </c>
      <c r="O119" s="121">
        <f t="shared" si="17"/>
        <v>555.00408626468186</v>
      </c>
      <c r="P119" s="121">
        <f t="shared" si="17"/>
        <v>557.1138842992882</v>
      </c>
      <c r="Q119" s="121">
        <f t="shared" si="17"/>
        <v>559.26587829458663</v>
      </c>
      <c r="R119" s="121">
        <f t="shared" si="17"/>
        <v>561.46091216979107</v>
      </c>
      <c r="S119" s="121">
        <f t="shared" si="17"/>
        <v>563.6998467224995</v>
      </c>
      <c r="T119" s="290">
        <f t="shared" si="17"/>
        <v>565.98355996626219</v>
      </c>
    </row>
    <row r="120" spans="2:20" s="1" customFormat="1" x14ac:dyDescent="0.25">
      <c r="B120" s="102" t="s">
        <v>208</v>
      </c>
      <c r="C120" s="602">
        <v>500</v>
      </c>
      <c r="D120" s="603"/>
      <c r="E120" s="113">
        <f>C120</f>
        <v>500</v>
      </c>
      <c r="F120" s="113">
        <f>E120*(1+$C$113)</f>
        <v>510</v>
      </c>
      <c r="G120" s="113">
        <f t="shared" ref="G120:T120" si="18">F120*(1+$C$113)</f>
        <v>520.20000000000005</v>
      </c>
      <c r="H120" s="113">
        <f t="shared" si="18"/>
        <v>530.60400000000004</v>
      </c>
      <c r="I120" s="113">
        <f t="shared" si="18"/>
        <v>541.21608000000003</v>
      </c>
      <c r="J120" s="113">
        <f t="shared" si="18"/>
        <v>552.0404016</v>
      </c>
      <c r="K120" s="113">
        <f t="shared" si="18"/>
        <v>563.08120963199997</v>
      </c>
      <c r="L120" s="113">
        <f t="shared" si="18"/>
        <v>574.34283382464002</v>
      </c>
      <c r="M120" s="113">
        <f t="shared" si="18"/>
        <v>585.82969050113286</v>
      </c>
      <c r="N120" s="113">
        <f t="shared" si="18"/>
        <v>597.54628431115555</v>
      </c>
      <c r="O120" s="113">
        <f t="shared" si="18"/>
        <v>609.49720999737872</v>
      </c>
      <c r="P120" s="113">
        <f t="shared" si="18"/>
        <v>621.68715419732632</v>
      </c>
      <c r="Q120" s="113">
        <f t="shared" si="18"/>
        <v>634.12089728127285</v>
      </c>
      <c r="R120" s="113">
        <f t="shared" si="18"/>
        <v>646.80331522689835</v>
      </c>
      <c r="S120" s="113">
        <f t="shared" si="18"/>
        <v>659.73938153143638</v>
      </c>
      <c r="T120" s="113">
        <f t="shared" si="18"/>
        <v>672.93416916206513</v>
      </c>
    </row>
    <row r="121" spans="2:20" s="1" customFormat="1" x14ac:dyDescent="0.25">
      <c r="B121" s="2" t="s">
        <v>209</v>
      </c>
      <c r="C121" s="288"/>
      <c r="D121" s="155"/>
      <c r="E121" s="124">
        <f>E120-E119</f>
        <v>-34.552646072827883</v>
      </c>
      <c r="F121" s="124">
        <f t="shared" ref="F121:T121" si="19">F120-F119</f>
        <v>-27.783415303597167</v>
      </c>
      <c r="G121" s="124">
        <f t="shared" si="19"/>
        <v>-19.348799918981626</v>
      </c>
      <c r="H121" s="124">
        <f t="shared" si="19"/>
        <v>-10.74549222667406</v>
      </c>
      <c r="I121" s="124">
        <f t="shared" si="19"/>
        <v>-1.9701183805201481</v>
      </c>
      <c r="J121" s="124">
        <f t="shared" si="19"/>
        <v>6.9807629425566802</v>
      </c>
      <c r="K121" s="124">
        <f t="shared" si="19"/>
        <v>16.110661892095095</v>
      </c>
      <c r="L121" s="124">
        <f t="shared" si="19"/>
        <v>25.423158820624394</v>
      </c>
      <c r="M121" s="124">
        <f t="shared" si="19"/>
        <v>34.921905687724234</v>
      </c>
      <c r="N121" s="124">
        <f t="shared" si="19"/>
        <v>44.610627492166145</v>
      </c>
      <c r="O121" s="124">
        <f t="shared" si="19"/>
        <v>54.493123732696858</v>
      </c>
      <c r="P121" s="124">
        <f t="shared" si="19"/>
        <v>64.57326989803812</v>
      </c>
      <c r="Q121" s="124">
        <f t="shared" si="19"/>
        <v>74.855018986686218</v>
      </c>
      <c r="R121" s="124">
        <f t="shared" si="19"/>
        <v>85.342403057107276</v>
      </c>
      <c r="S121" s="124">
        <f t="shared" si="19"/>
        <v>96.039534808936878</v>
      </c>
      <c r="T121" s="289">
        <f t="shared" si="19"/>
        <v>106.95060919580294</v>
      </c>
    </row>
    <row r="122" spans="2:20" s="1" customFormat="1" x14ac:dyDescent="0.25">
      <c r="B122" s="64"/>
      <c r="C122" s="65"/>
      <c r="D122" s="111"/>
      <c r="E122" s="112"/>
      <c r="F122" s="109"/>
      <c r="G122" s="109"/>
      <c r="H122" s="109"/>
      <c r="I122" s="109"/>
      <c r="J122" s="109"/>
      <c r="K122" s="109"/>
      <c r="L122" s="109"/>
      <c r="M122" s="110"/>
      <c r="N122" s="148"/>
      <c r="O122" s="109"/>
      <c r="P122" s="110"/>
      <c r="Q122" s="110"/>
      <c r="R122" s="110"/>
      <c r="S122" s="110"/>
      <c r="T122" s="101"/>
    </row>
    <row r="123" spans="2:20" s="1" customFormat="1" x14ac:dyDescent="0.25">
      <c r="B123" s="102" t="s">
        <v>387</v>
      </c>
      <c r="C123" s="287"/>
      <c r="D123" s="188"/>
      <c r="E123" s="131">
        <f>E104/E102</f>
        <v>0.8666666666666667</v>
      </c>
      <c r="F123" s="131">
        <f t="shared" ref="F123:T123" si="20">F104/F102</f>
        <v>0.83938974641899655</v>
      </c>
      <c r="G123" s="131">
        <f t="shared" si="20"/>
        <v>0.8122191904033359</v>
      </c>
      <c r="H123" s="131">
        <f t="shared" si="20"/>
        <v>0.7851350598239466</v>
      </c>
      <c r="I123" s="131">
        <f>I104/I102</f>
        <v>0.7581170629575964</v>
      </c>
      <c r="J123" s="131">
        <f>J104/J102</f>
        <v>0.73114453107852773</v>
      </c>
      <c r="K123" s="131">
        <f t="shared" si="20"/>
        <v>0.70419639356401997</v>
      </c>
      <c r="L123" s="131">
        <f t="shared" si="20"/>
        <v>0.67725115214280218</v>
      </c>
      <c r="M123" s="131">
        <f t="shared" si="20"/>
        <v>0.65028685424706734</v>
      </c>
      <c r="N123" s="131">
        <f t="shared" si="20"/>
        <v>0.62328106542727857</v>
      </c>
      <c r="O123" s="131">
        <f t="shared" si="20"/>
        <v>0.59621084078732045</v>
      </c>
      <c r="P123" s="131">
        <f t="shared" si="20"/>
        <v>0.56905269539584957</v>
      </c>
      <c r="Q123" s="131">
        <f t="shared" si="20"/>
        <v>0.54178257362792248</v>
      </c>
      <c r="R123" s="131">
        <f t="shared" si="20"/>
        <v>0.51437581738913085</v>
      </c>
      <c r="S123" s="131">
        <f t="shared" si="20"/>
        <v>0.48680713317254565</v>
      </c>
      <c r="T123" s="131">
        <f t="shared" si="20"/>
        <v>0.45905055789676213</v>
      </c>
    </row>
    <row r="124" spans="2:20" s="1" customFormat="1" x14ac:dyDescent="0.25">
      <c r="B124" s="132" t="s">
        <v>210</v>
      </c>
      <c r="C124" s="67"/>
      <c r="D124" s="133"/>
      <c r="E124" s="134">
        <f>SUM(E115:E117)/E114</f>
        <v>0.27796737595787052</v>
      </c>
      <c r="F124" s="134">
        <f>SUM(F115:F117)/F114</f>
        <v>0.27416409407634362</v>
      </c>
      <c r="G124" s="134">
        <f>SUM(G115:G117)/G114</f>
        <v>0.26967068046700354</v>
      </c>
      <c r="H124" s="134">
        <f>SUM(H115:H117)/H114</f>
        <v>0.26526537300686626</v>
      </c>
      <c r="I124" s="134">
        <f>SUM(I115:I117)/I114</f>
        <v>0.26094644412437867</v>
      </c>
      <c r="J124" s="134">
        <f t="shared" ref="J124:T124" si="21">SUM(J115:J117)/J114</f>
        <v>0.25671220012193985</v>
      </c>
      <c r="K124" s="134">
        <f t="shared" si="21"/>
        <v>0.25256098051170572</v>
      </c>
      <c r="L124" s="134">
        <f t="shared" si="21"/>
        <v>0.24849115736441738</v>
      </c>
      <c r="M124" s="134">
        <f t="shared" si="21"/>
        <v>0.24450113467099743</v>
      </c>
      <c r="N124" s="134">
        <f t="shared" si="21"/>
        <v>0.24058934771666413</v>
      </c>
      <c r="O124" s="134">
        <f t="shared" si="21"/>
        <v>0.23675426246731779</v>
      </c>
      <c r="P124" s="134">
        <f t="shared" si="21"/>
        <v>0.23299437496795861</v>
      </c>
      <c r="Q124" s="134">
        <f t="shared" si="21"/>
        <v>0.22930821075290059</v>
      </c>
      <c r="R124" s="134">
        <f t="shared" si="21"/>
        <v>0.2256943242675496</v>
      </c>
      <c r="S124" s="134">
        <f t="shared" si="21"/>
        <v>0.2221512983015192</v>
      </c>
      <c r="T124" s="134">
        <f t="shared" si="21"/>
        <v>0.21867774343286198</v>
      </c>
    </row>
    <row r="125" spans="2:20" s="1" customFormat="1" x14ac:dyDescent="0.25"/>
    <row r="126" spans="2:20" s="1" customFormat="1" x14ac:dyDescent="0.25"/>
    <row r="127" spans="2:20" s="1" customFormat="1" x14ac:dyDescent="0.25"/>
    <row r="128" spans="2:20" s="1" customFormat="1" x14ac:dyDescent="0.25">
      <c r="B128" s="46"/>
      <c r="C128" s="100"/>
      <c r="D128" s="100"/>
      <c r="E128" s="100"/>
      <c r="F128" s="100"/>
      <c r="G128" s="100"/>
      <c r="H128" s="100"/>
      <c r="I128" s="100"/>
      <c r="J128" s="100"/>
      <c r="K128" s="100"/>
      <c r="L128" s="100"/>
      <c r="M128" s="100"/>
      <c r="N128" s="100"/>
      <c r="O128" s="100"/>
      <c r="P128" s="100"/>
    </row>
    <row r="129" spans="2:16" s="1" customFormat="1" x14ac:dyDescent="0.25"/>
    <row r="130" spans="2:16" s="1" customFormat="1" x14ac:dyDescent="0.25">
      <c r="B130" s="46"/>
      <c r="C130" s="100"/>
      <c r="D130" s="100"/>
      <c r="E130" s="100"/>
      <c r="F130" s="100"/>
      <c r="G130" s="100"/>
      <c r="H130" s="100"/>
      <c r="I130" s="100"/>
      <c r="J130" s="100"/>
      <c r="K130" s="100"/>
      <c r="L130" s="100"/>
      <c r="M130" s="100"/>
      <c r="N130" s="100"/>
      <c r="O130" s="100"/>
      <c r="P130" s="100"/>
    </row>
    <row r="131" spans="2:16" s="1" customFormat="1" x14ac:dyDescent="0.25">
      <c r="B131" s="157"/>
      <c r="C131" s="157"/>
      <c r="D131" s="157"/>
      <c r="E131" s="157"/>
      <c r="F131" s="157"/>
      <c r="G131" s="157"/>
      <c r="H131" s="157"/>
      <c r="I131" s="157"/>
      <c r="J131" s="157"/>
      <c r="K131" s="157"/>
      <c r="L131" s="157"/>
      <c r="M131" s="157"/>
      <c r="N131" s="157"/>
    </row>
    <row r="132" spans="2:16" s="1" customFormat="1" x14ac:dyDescent="0.25"/>
    <row r="133" spans="2:16" s="1" customFormat="1" x14ac:dyDescent="0.25"/>
    <row r="134" spans="2:16" s="1" customFormat="1" x14ac:dyDescent="0.25"/>
    <row r="135" spans="2:16" s="1" customFormat="1" x14ac:dyDescent="0.25"/>
    <row r="136" spans="2:16" s="1" customFormat="1" x14ac:dyDescent="0.25"/>
    <row r="137" spans="2:16" s="1" customFormat="1" x14ac:dyDescent="0.25"/>
    <row r="138" spans="2:16" s="1" customFormat="1" x14ac:dyDescent="0.25"/>
    <row r="139" spans="2:16" s="1" customFormat="1" x14ac:dyDescent="0.25"/>
    <row r="140" spans="2:16" s="1" customFormat="1" x14ac:dyDescent="0.25"/>
    <row r="141" spans="2:16" s="1" customFormat="1" x14ac:dyDescent="0.25"/>
    <row r="142" spans="2:16" s="1" customFormat="1" x14ac:dyDescent="0.25"/>
    <row r="143" spans="2:16" s="1" customFormat="1" x14ac:dyDescent="0.25"/>
    <row r="144" spans="2:16" s="1" customFormat="1" x14ac:dyDescent="0.25"/>
    <row r="145" spans="29:84" s="1" customFormat="1" x14ac:dyDescent="0.25"/>
    <row r="146" spans="29:84" s="1" customFormat="1" x14ac:dyDescent="0.25"/>
    <row r="147" spans="29:84" s="1" customFormat="1" x14ac:dyDescent="0.25"/>
    <row r="148" spans="29:84" s="1" customFormat="1" x14ac:dyDescent="0.25"/>
    <row r="149" spans="29:84" s="1" customFormat="1" x14ac:dyDescent="0.25"/>
    <row r="150" spans="29:84" s="1" customFormat="1" x14ac:dyDescent="0.25">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row>
    <row r="151" spans="29:84" s="1" customFormat="1" x14ac:dyDescent="0.25">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row>
    <row r="152" spans="29:84" s="1" customFormat="1" x14ac:dyDescent="0.25">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row>
    <row r="153" spans="29:84" s="1" customFormat="1" x14ac:dyDescent="0.25">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row>
    <row r="154" spans="29:84" s="1" customFormat="1" x14ac:dyDescent="0.25">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row>
    <row r="155" spans="29:84" s="1" customFormat="1" x14ac:dyDescent="0.2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row>
    <row r="156" spans="29:84" s="1" customFormat="1" x14ac:dyDescent="0.25">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row>
    <row r="157" spans="29:84" s="1" customFormat="1" x14ac:dyDescent="0.25">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row>
    <row r="158" spans="29:84" s="1" customFormat="1" x14ac:dyDescent="0.25">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row>
    <row r="159" spans="29:84" s="1" customFormat="1" x14ac:dyDescent="0.25">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row>
    <row r="160" spans="29:84" s="1" customFormat="1" x14ac:dyDescent="0.25">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row>
    <row r="161" spans="29:84" s="1" customFormat="1" x14ac:dyDescent="0.25">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row>
    <row r="162" spans="29:84" s="1" customFormat="1" x14ac:dyDescent="0.25">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row>
    <row r="163" spans="29:84" s="1" customFormat="1" x14ac:dyDescent="0.25">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row>
    <row r="164" spans="29:84" s="1" customFormat="1" x14ac:dyDescent="0.25">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row>
    <row r="165" spans="29:84" s="1" customFormat="1" x14ac:dyDescent="0.2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row>
    <row r="166" spans="29:84" s="1" customFormat="1" x14ac:dyDescent="0.25">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row>
    <row r="167" spans="29:84" s="1" customFormat="1" x14ac:dyDescent="0.25">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row>
    <row r="168" spans="29:84" s="1" customFormat="1" x14ac:dyDescent="0.25">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row>
    <row r="169" spans="29:84" s="1" customFormat="1" x14ac:dyDescent="0.25">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row>
    <row r="170" spans="29:84" s="1" customFormat="1" x14ac:dyDescent="0.25">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row>
    <row r="171" spans="29:84" s="1" customFormat="1" x14ac:dyDescent="0.25">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row>
    <row r="172" spans="29:84" s="1" customFormat="1" x14ac:dyDescent="0.25">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row>
    <row r="173" spans="29:84" s="1" customFormat="1" x14ac:dyDescent="0.25">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row>
    <row r="174" spans="29:84" s="1" customFormat="1" x14ac:dyDescent="0.25">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row>
    <row r="175" spans="29:84" s="1" customFormat="1" x14ac:dyDescent="0.2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row>
    <row r="176" spans="29:84" s="1" customFormat="1" x14ac:dyDescent="0.25">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row>
    <row r="177" spans="29:84" s="1" customFormat="1" x14ac:dyDescent="0.25">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row>
    <row r="178" spans="29:84" s="1" customFormat="1" x14ac:dyDescent="0.25">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row>
    <row r="179" spans="29:84" s="1" customFormat="1" x14ac:dyDescent="0.25">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row>
    <row r="180" spans="29:84" s="1" customFormat="1" x14ac:dyDescent="0.25">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row>
    <row r="181" spans="29:84" s="1" customFormat="1" x14ac:dyDescent="0.25">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row>
    <row r="182" spans="29:84" s="1" customFormat="1" x14ac:dyDescent="0.25">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row>
    <row r="183" spans="29:84" s="1" customFormat="1" x14ac:dyDescent="0.25">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row>
    <row r="184" spans="29:84" s="1" customFormat="1" x14ac:dyDescent="0.25">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row>
    <row r="185" spans="29:84" s="1" customFormat="1" x14ac:dyDescent="0.2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row>
    <row r="186" spans="29:84" s="1" customFormat="1" x14ac:dyDescent="0.25">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row>
    <row r="187" spans="29:84" s="1" customFormat="1" x14ac:dyDescent="0.25">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row>
    <row r="188" spans="29:84" s="1" customFormat="1" x14ac:dyDescent="0.25">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row>
    <row r="189" spans="29:84" s="1" customFormat="1" x14ac:dyDescent="0.25">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row>
    <row r="190" spans="29:84" s="1" customFormat="1" x14ac:dyDescent="0.25">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row>
    <row r="191" spans="29:84" s="1" customFormat="1" x14ac:dyDescent="0.25">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row>
    <row r="192" spans="29:84" s="1" customFormat="1" x14ac:dyDescent="0.25">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row>
    <row r="193" spans="29:84" s="1" customFormat="1" x14ac:dyDescent="0.25">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row>
    <row r="194" spans="29:84" s="1" customFormat="1" x14ac:dyDescent="0.25">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row>
    <row r="195" spans="29:84" s="1" customFormat="1" x14ac:dyDescent="0.2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row>
    <row r="196" spans="29:84" s="1" customFormat="1" x14ac:dyDescent="0.25">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row>
    <row r="197" spans="29:84" s="1" customFormat="1" x14ac:dyDescent="0.25">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row>
    <row r="198" spans="29:84" s="1" customFormat="1" x14ac:dyDescent="0.25">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row>
    <row r="199" spans="29:84" s="1" customFormat="1" x14ac:dyDescent="0.25">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row>
    <row r="200" spans="29:84" s="1" customFormat="1" x14ac:dyDescent="0.25">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row>
    <row r="201" spans="29:84" s="1" customFormat="1" x14ac:dyDescent="0.25">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row>
    <row r="202" spans="29:84" s="1" customFormat="1" x14ac:dyDescent="0.25">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row>
    <row r="203" spans="29:84" s="1" customFormat="1" x14ac:dyDescent="0.25">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row>
    <row r="204" spans="29:84" s="1" customFormat="1" x14ac:dyDescent="0.25">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row>
    <row r="205" spans="29:84" s="1" customFormat="1" x14ac:dyDescent="0.2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row>
    <row r="206" spans="29:84" s="1" customFormat="1" x14ac:dyDescent="0.25">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row>
    <row r="207" spans="29:84" s="1" customFormat="1" x14ac:dyDescent="0.25">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row>
    <row r="208" spans="29:84" s="1" customFormat="1" x14ac:dyDescent="0.25">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row>
    <row r="209" spans="29:84" s="1" customFormat="1" x14ac:dyDescent="0.25">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row>
    <row r="210" spans="29:84" s="1" customFormat="1" x14ac:dyDescent="0.25">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row>
    <row r="211" spans="29:84" s="1" customFormat="1" x14ac:dyDescent="0.25">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row>
    <row r="212" spans="29:84" s="1" customFormat="1" x14ac:dyDescent="0.25">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row>
    <row r="213" spans="29:84" s="1" customFormat="1" x14ac:dyDescent="0.25">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row>
    <row r="214" spans="29:84" s="1" customFormat="1" x14ac:dyDescent="0.25">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row>
    <row r="215" spans="29:84" s="1" customFormat="1" x14ac:dyDescent="0.2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row>
    <row r="216" spans="29:84" s="1" customFormat="1" x14ac:dyDescent="0.25">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row>
    <row r="217" spans="29:84" s="1" customFormat="1" x14ac:dyDescent="0.25">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row>
    <row r="218" spans="29:84" s="1" customFormat="1" x14ac:dyDescent="0.25">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row>
    <row r="219" spans="29:84" s="1" customFormat="1" x14ac:dyDescent="0.25">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row>
    <row r="220" spans="29:84" s="1" customFormat="1" x14ac:dyDescent="0.25">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row>
    <row r="221" spans="29:84" s="1" customFormat="1" x14ac:dyDescent="0.25">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row>
    <row r="222" spans="29:84" s="1" customFormat="1" x14ac:dyDescent="0.25">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row>
    <row r="223" spans="29:84" s="1" customFormat="1" x14ac:dyDescent="0.25">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row>
    <row r="224" spans="29:84" s="1" customFormat="1" x14ac:dyDescent="0.25">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row>
    <row r="225" spans="29:84" s="1" customFormat="1" x14ac:dyDescent="0.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row>
    <row r="226" spans="29:84" s="1" customFormat="1" x14ac:dyDescent="0.25">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row>
    <row r="227" spans="29:84" s="1" customFormat="1" x14ac:dyDescent="0.25">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row>
    <row r="228" spans="29:84" s="1" customFormat="1" x14ac:dyDescent="0.25">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row>
    <row r="229" spans="29:84" s="1" customFormat="1" x14ac:dyDescent="0.25">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row>
    <row r="230" spans="29:84" s="1" customFormat="1" x14ac:dyDescent="0.25">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row>
    <row r="231" spans="29:84" s="1" customFormat="1" x14ac:dyDescent="0.25">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row>
  </sheetData>
  <sheetProtection algorithmName="SHA-512" hashValue="YWdiQScEa3M/ViH3EWi6rCLBoPz9W6hqqR4O26K/8fPKu1prUH9LAxIUDXG4VxVnQhisEUNspuo3607ZhBpgew==" saltValue="JDQ6nTFh6AKdZIsweRAiFQ==" spinCount="100000" sheet="1" objects="1" scenarios="1"/>
  <mergeCells count="29">
    <mergeCell ref="C112:D112"/>
    <mergeCell ref="D28:E28"/>
    <mergeCell ref="B2:J4"/>
    <mergeCell ref="C18:E18"/>
    <mergeCell ref="C19:E19"/>
    <mergeCell ref="C20:E20"/>
    <mergeCell ref="C21:E21"/>
    <mergeCell ref="G16:J16"/>
    <mergeCell ref="C22:E22"/>
    <mergeCell ref="D24:E24"/>
    <mergeCell ref="D25:E25"/>
    <mergeCell ref="D26:E26"/>
    <mergeCell ref="D27:E27"/>
    <mergeCell ref="C113:D113"/>
    <mergeCell ref="C120:D120"/>
    <mergeCell ref="C30:D30"/>
    <mergeCell ref="C31:D31"/>
    <mergeCell ref="C36:D36"/>
    <mergeCell ref="C37:D37"/>
    <mergeCell ref="C54:D54"/>
    <mergeCell ref="C55:D55"/>
    <mergeCell ref="C116:D116"/>
    <mergeCell ref="C56:D56"/>
    <mergeCell ref="C57:D57"/>
    <mergeCell ref="C117:D117"/>
    <mergeCell ref="C118:D118"/>
    <mergeCell ref="C38:D38"/>
    <mergeCell ref="C101:D101"/>
    <mergeCell ref="C102:D102"/>
  </mergeCells>
  <conditionalFormatting sqref="R119:T119 R122:T124">
    <cfRule type="expression" priority="11">
      <formula>"if($P$81&lt;99%, green, red)"</formula>
    </cfRule>
  </conditionalFormatting>
  <conditionalFormatting sqref="F101:T101 F112:T113 F122:T122 E107:T108 E119:T120">
    <cfRule type="expression" priority="10">
      <formula>"if($D$81:$R$811&gt;100%, [Green],[Red]"</formula>
    </cfRule>
  </conditionalFormatting>
  <conditionalFormatting sqref="R101:T101">
    <cfRule type="expression" priority="9">
      <formula>"if($P$81&lt;99%, green, red)"</formula>
    </cfRule>
  </conditionalFormatting>
  <conditionalFormatting sqref="R112:T113">
    <cfRule type="expression" priority="8">
      <formula>"if($P$81&lt;99%, green, red)"</formula>
    </cfRule>
  </conditionalFormatting>
  <conditionalFormatting sqref="E124:T124">
    <cfRule type="iconSet" priority="12">
      <iconSet reverse="1">
        <cfvo type="percent" val="0"/>
        <cfvo type="num" val="0.30499999999999999" gte="0"/>
        <cfvo type="num" val="0.35"/>
      </iconSet>
    </cfRule>
  </conditionalFormatting>
  <conditionalFormatting sqref="E123:T123">
    <cfRule type="iconSet" priority="13">
      <iconSet reverse="1">
        <cfvo type="percent" val="0"/>
        <cfvo type="num" val="0.70499999999999996"/>
        <cfvo type="num" val="0.8"/>
      </iconSet>
    </cfRule>
  </conditionalFormatting>
  <conditionalFormatting sqref="R100:T100">
    <cfRule type="expression" priority="7">
      <formula>"if($P$81&lt;99%, green, red)"</formula>
    </cfRule>
  </conditionalFormatting>
  <conditionalFormatting sqref="E106">
    <cfRule type="expression" priority="5">
      <formula>"if($D$81:$R$811&gt;100%, [Green],[Red]"</formula>
    </cfRule>
  </conditionalFormatting>
  <conditionalFormatting sqref="F106:T106">
    <cfRule type="expression" priority="6">
      <formula>"if($D$81:$R$811&gt;100%, [Green],[Red]"</formula>
    </cfRule>
  </conditionalFormatting>
  <conditionalFormatting sqref="F118:T118">
    <cfRule type="expression" priority="4">
      <formula>"if($D$81:$R$811&gt;100%, [Green],[Red]"</formula>
    </cfRule>
  </conditionalFormatting>
  <conditionalFormatting sqref="R118:T118">
    <cfRule type="expression" priority="3">
      <formula>"if($P$81&lt;99%, green, red)"</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1" id="{5554B85C-C244-4CEC-A9E5-2A81ACD89BD2}">
            <x14:iconSet showValue="0" custom="1">
              <x14:cfvo type="percent">
                <xm:f>0</xm:f>
              </x14:cfvo>
              <x14:cfvo type="num">
                <xm:f>1</xm:f>
              </x14:cfvo>
              <x14:cfvo type="num">
                <xm:f>2</xm:f>
              </x14:cfvo>
              <x14:cfIcon iconSet="3TrafficLights1" iconId="2"/>
              <x14:cfIcon iconSet="3TrafficLights1" iconId="1"/>
              <x14:cfIcon iconSet="3TrafficLights1" iconId="0"/>
            </x14:iconSet>
          </x14:cfRule>
          <xm:sqref>D60:D76</xm:sqref>
        </x14:conditionalFormatting>
        <x14:conditionalFormatting xmlns:xm="http://schemas.microsoft.com/office/excel/2006/main">
          <x14:cfRule type="iconSet" priority="16" id="{17FD8EF6-7980-437C-B3EE-07C0AE6F01AC}">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F30:F31</xm:sqref>
        </x14:conditionalFormatting>
        <x14:conditionalFormatting xmlns:xm="http://schemas.microsoft.com/office/excel/2006/main">
          <x14:cfRule type="iconSet" priority="15" id="{49D5078F-4E81-45F2-9D4A-7FEEEC5384EE}">
            <x14:iconSet showValue="0" custom="1">
              <x14:cfvo type="percent">
                <xm:f>0</xm:f>
              </x14:cfvo>
              <x14:cfvo type="num">
                <xm:f>0</xm:f>
              </x14:cfvo>
              <x14:cfvo type="num">
                <xm:f>1</xm:f>
              </x14:cfvo>
              <x14:cfIcon iconSet="3TrafficLights1" iconId="2"/>
              <x14:cfIcon iconSet="3TrafficLights1" iconId="2"/>
              <x14:cfIcon iconSet="3TrafficLights1" iconId="0"/>
            </x14:iconSet>
          </x14:cfRule>
          <xm:sqref>F32</xm:sqref>
        </x14:conditionalFormatting>
        <x14:conditionalFormatting xmlns:xm="http://schemas.microsoft.com/office/excel/2006/main">
          <x14:cfRule type="iconSet" priority="14" id="{3D6AB39C-8729-4A63-A635-9CE66250BA35}">
            <x14:iconSet showValue="0" custom="1">
              <x14:cfvo type="percent">
                <xm:f>0</xm:f>
              </x14:cfvo>
              <x14:cfvo type="num">
                <xm:f>0</xm:f>
              </x14:cfvo>
              <x14:cfvo type="num">
                <xm:f>1</xm:f>
              </x14:cfvo>
              <x14:cfIcon iconSet="3TrafficLights1" iconId="0"/>
              <x14:cfIcon iconSet="3TrafficLights1" iconId="2"/>
              <x14:cfIcon iconSet="3TrafficLights1" iconId="0"/>
            </x14:iconSet>
          </x14:cfRule>
          <xm:sqref>F37:F40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1B4A4BA3-C61D-43D3-8077-A82AF1926EB8}">
          <x14:formula1>
            <xm:f>Codes!$J$1:$J$6</xm:f>
          </x14:formula1>
          <xm:sqref>D25:E28</xm:sqref>
        </x14:dataValidation>
        <x14:dataValidation type="list" allowBlank="1" showInputMessage="1" showErrorMessage="1" xr:uid="{B420053E-A8A9-42D7-A979-FEA2BDB1E170}">
          <x14:formula1>
            <xm:f>Codes!$F$2:$F$3</xm:f>
          </x14:formula1>
          <xm:sqref>E30:E31</xm:sqref>
        </x14:dataValidation>
        <x14:dataValidation type="list" allowBlank="1" showInputMessage="1" showErrorMessage="1" xr:uid="{F7BECDC7-18B0-4A42-BDA3-DEF08F7DC603}">
          <x14:formula1>
            <xm:f>Codes!$B$2:$B$7</xm:f>
          </x14:formula1>
          <xm:sqref>C21:D21</xm:sqref>
        </x14:dataValidation>
        <x14:dataValidation type="list" allowBlank="1" showInputMessage="1" showErrorMessage="1" xr:uid="{E7C53751-1EBE-4BF8-9031-C6D90A7CC205}">
          <x14:formula1>
            <xm:f>Codes!$C$2:$C$7</xm:f>
          </x14:formula1>
          <xm:sqref>C22:D22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8D53-4B41-49EC-A5BD-002417DA6CD8}">
  <sheetPr codeName="Sheet3">
    <tabColor theme="9"/>
  </sheetPr>
  <dimension ref="A1:EA1235"/>
  <sheetViews>
    <sheetView topLeftCell="A3" zoomScale="80" zoomScaleNormal="80" workbookViewId="0">
      <selection activeCell="E25" sqref="E25"/>
    </sheetView>
  </sheetViews>
  <sheetFormatPr defaultColWidth="9.140625" defaultRowHeight="15" x14ac:dyDescent="0.25"/>
  <cols>
    <col min="1" max="1" width="3.140625" customWidth="1"/>
    <col min="2" max="2" width="56.5703125" customWidth="1"/>
    <col min="3" max="3" width="66.28515625" customWidth="1"/>
    <col min="4" max="5" width="15.85546875" customWidth="1"/>
    <col min="6" max="6" width="47.28515625" style="1" customWidth="1"/>
    <col min="7" max="8" width="22.7109375" style="1" customWidth="1"/>
    <col min="9" max="9" width="13" style="1" bestFit="1" customWidth="1"/>
    <col min="10" max="10" width="60" style="1" customWidth="1"/>
    <col min="11" max="11" width="7.7109375" style="1" customWidth="1"/>
    <col min="12" max="12" width="15.5703125" style="1" customWidth="1"/>
    <col min="13" max="15" width="9.140625" style="1"/>
    <col min="16" max="16" width="13.28515625" style="1" bestFit="1" customWidth="1"/>
    <col min="17" max="17" width="10.5703125" style="1" bestFit="1" customWidth="1"/>
    <col min="18" max="131" width="9.140625" style="1"/>
  </cols>
  <sheetData>
    <row r="1" spans="1:12" x14ac:dyDescent="0.25">
      <c r="A1" s="1"/>
      <c r="B1" s="1"/>
      <c r="C1" s="1"/>
      <c r="D1" s="1"/>
      <c r="E1" s="1"/>
    </row>
    <row r="2" spans="1:12" s="1" customFormat="1" ht="21" customHeight="1" x14ac:dyDescent="0.25">
      <c r="B2" s="628" t="s">
        <v>374</v>
      </c>
      <c r="C2" s="628"/>
      <c r="D2" s="628"/>
      <c r="E2" s="628"/>
      <c r="F2" s="628"/>
      <c r="G2" s="628"/>
      <c r="H2" s="628"/>
      <c r="I2" s="330"/>
      <c r="J2" s="330"/>
      <c r="K2" s="330"/>
      <c r="L2" s="330"/>
    </row>
    <row r="3" spans="1:12" s="1" customFormat="1" ht="21" customHeight="1" x14ac:dyDescent="0.25">
      <c r="B3" s="628"/>
      <c r="C3" s="628"/>
      <c r="D3" s="628"/>
      <c r="E3" s="628"/>
      <c r="F3" s="628"/>
      <c r="G3" s="628"/>
      <c r="H3" s="628"/>
      <c r="I3" s="330"/>
      <c r="J3" s="330"/>
      <c r="K3" s="330"/>
      <c r="L3" s="330"/>
    </row>
    <row r="4" spans="1:12" s="1" customFormat="1" x14ac:dyDescent="0.25">
      <c r="B4" s="138"/>
      <c r="C4" s="13"/>
    </row>
    <row r="5" spans="1:12" s="1" customFormat="1" x14ac:dyDescent="0.25">
      <c r="B5" s="331"/>
      <c r="C5" s="332"/>
      <c r="D5" s="5"/>
      <c r="E5" s="5"/>
      <c r="F5" s="5"/>
      <c r="G5" s="5"/>
      <c r="H5" s="6"/>
    </row>
    <row r="6" spans="1:12" s="1" customFormat="1" x14ac:dyDescent="0.25">
      <c r="B6" s="333" t="s">
        <v>443</v>
      </c>
      <c r="C6" s="334"/>
      <c r="D6" s="334"/>
      <c r="E6" s="334"/>
      <c r="H6" s="3"/>
    </row>
    <row r="7" spans="1:12" s="1" customFormat="1" x14ac:dyDescent="0.25">
      <c r="B7" s="335"/>
      <c r="C7" s="334"/>
      <c r="D7" s="334"/>
      <c r="E7" s="334"/>
      <c r="H7" s="3"/>
    </row>
    <row r="8" spans="1:12" s="1" customFormat="1" x14ac:dyDescent="0.25">
      <c r="B8" s="336" t="s">
        <v>442</v>
      </c>
      <c r="C8" s="334"/>
      <c r="D8" s="334"/>
      <c r="E8" s="334"/>
      <c r="H8" s="3"/>
    </row>
    <row r="9" spans="1:12" s="1" customFormat="1" x14ac:dyDescent="0.25">
      <c r="B9" s="336" t="s">
        <v>450</v>
      </c>
      <c r="C9" s="334"/>
      <c r="D9" s="334"/>
      <c r="E9" s="334"/>
      <c r="H9" s="3"/>
    </row>
    <row r="10" spans="1:12" s="1" customFormat="1" x14ac:dyDescent="0.25">
      <c r="B10" s="336" t="s">
        <v>436</v>
      </c>
      <c r="C10" s="334"/>
      <c r="D10" s="334"/>
      <c r="E10" s="334"/>
      <c r="H10" s="3"/>
    </row>
    <row r="11" spans="1:12" s="1" customFormat="1" x14ac:dyDescent="0.25">
      <c r="B11" s="337"/>
      <c r="C11" s="338"/>
      <c r="D11" s="338"/>
      <c r="E11" s="338"/>
      <c r="F11" s="12"/>
      <c r="G11" s="12"/>
      <c r="H11" s="16"/>
    </row>
    <row r="12" spans="1:12" s="1" customFormat="1" x14ac:dyDescent="0.25">
      <c r="B12" s="334"/>
      <c r="C12" s="334"/>
      <c r="D12" s="334"/>
      <c r="E12" s="334"/>
    </row>
    <row r="13" spans="1:12" s="1" customFormat="1" x14ac:dyDescent="0.25">
      <c r="B13" s="339" t="s">
        <v>240</v>
      </c>
      <c r="C13" s="334"/>
      <c r="D13" s="334"/>
      <c r="E13" s="334"/>
    </row>
    <row r="14" spans="1:12" s="1" customFormat="1" x14ac:dyDescent="0.25">
      <c r="B14" s="15" t="s">
        <v>339</v>
      </c>
      <c r="C14" s="334"/>
      <c r="D14" s="317" t="s">
        <v>341</v>
      </c>
      <c r="E14" s="334"/>
    </row>
    <row r="15" spans="1:12" s="1" customFormat="1" x14ac:dyDescent="0.25">
      <c r="C15" s="340"/>
      <c r="D15" s="340"/>
      <c r="E15" s="334"/>
    </row>
    <row r="16" spans="1:12" s="1" customFormat="1" x14ac:dyDescent="0.25">
      <c r="B16" s="341" t="s">
        <v>243</v>
      </c>
      <c r="C16" s="340"/>
      <c r="D16" s="340"/>
      <c r="F16" s="138" t="s">
        <v>380</v>
      </c>
    </row>
    <row r="17" spans="2:17" s="1" customFormat="1" x14ac:dyDescent="0.25">
      <c r="B17" s="199" t="s">
        <v>376</v>
      </c>
      <c r="D17" s="189">
        <v>2950000</v>
      </c>
      <c r="E17" s="340"/>
    </row>
    <row r="18" spans="2:17" s="1" customFormat="1" ht="18.75" x14ac:dyDescent="0.3">
      <c r="B18" s="199" t="s">
        <v>377</v>
      </c>
      <c r="D18" s="189">
        <v>10000</v>
      </c>
      <c r="E18" s="288"/>
      <c r="F18" s="629" t="s">
        <v>241</v>
      </c>
      <c r="G18" s="630"/>
      <c r="H18" s="631"/>
    </row>
    <row r="19" spans="2:17" s="1" customFormat="1" x14ac:dyDescent="0.25">
      <c r="B19" s="199"/>
      <c r="D19" s="187"/>
      <c r="E19" s="288"/>
      <c r="F19" s="342" t="s">
        <v>394</v>
      </c>
      <c r="G19" s="343"/>
      <c r="H19" s="344"/>
    </row>
    <row r="20" spans="2:17" s="1" customFormat="1" x14ac:dyDescent="0.25">
      <c r="B20" s="199" t="s">
        <v>378</v>
      </c>
      <c r="D20" s="304">
        <v>9</v>
      </c>
      <c r="E20" s="187"/>
      <c r="F20" s="4" t="s">
        <v>399</v>
      </c>
      <c r="G20" s="345">
        <f>D20*D22</f>
        <v>7425000</v>
      </c>
      <c r="H20" s="346"/>
    </row>
    <row r="21" spans="2:17" s="1" customFormat="1" x14ac:dyDescent="0.25">
      <c r="B21" s="199" t="s">
        <v>379</v>
      </c>
      <c r="D21" s="304">
        <v>112.89</v>
      </c>
      <c r="E21" s="187"/>
      <c r="F21" s="102" t="s">
        <v>251</v>
      </c>
      <c r="G21" s="288">
        <f>((D22*D20))-((D20*D22)/1.15)</f>
        <v>968478.26086956449</v>
      </c>
      <c r="H21" s="3"/>
    </row>
    <row r="22" spans="2:17" s="1" customFormat="1" x14ac:dyDescent="0.25">
      <c r="B22" s="199" t="s">
        <v>400</v>
      </c>
      <c r="D22" s="318">
        <v>825000</v>
      </c>
      <c r="E22" s="187"/>
      <c r="F22" s="102" t="s">
        <v>252</v>
      </c>
      <c r="G22" s="347">
        <f>D20*D27</f>
        <v>13500</v>
      </c>
      <c r="H22" s="3"/>
    </row>
    <row r="23" spans="2:17" s="1" customFormat="1" x14ac:dyDescent="0.25">
      <c r="B23" s="199" t="s">
        <v>401</v>
      </c>
      <c r="D23" s="318">
        <v>378500</v>
      </c>
      <c r="F23" s="64" t="s">
        <v>396</v>
      </c>
      <c r="H23" s="348">
        <f>G20-G21-G22</f>
        <v>6443021.7391304355</v>
      </c>
    </row>
    <row r="24" spans="2:17" s="1" customFormat="1" x14ac:dyDescent="0.25">
      <c r="B24" s="199" t="s">
        <v>402</v>
      </c>
      <c r="D24" s="349">
        <f>D22-D23</f>
        <v>446500</v>
      </c>
      <c r="F24" s="342" t="s">
        <v>242</v>
      </c>
      <c r="G24" s="343"/>
      <c r="H24" s="344"/>
    </row>
    <row r="25" spans="2:17" s="1" customFormat="1" x14ac:dyDescent="0.25">
      <c r="B25" s="199" t="s">
        <v>403</v>
      </c>
      <c r="D25" s="325">
        <v>1.4999999999999999E-2</v>
      </c>
      <c r="E25" s="288"/>
      <c r="F25" s="350" t="s">
        <v>244</v>
      </c>
      <c r="G25" s="332"/>
      <c r="H25" s="351"/>
    </row>
    <row r="26" spans="2:17" s="1" customFormat="1" x14ac:dyDescent="0.25">
      <c r="B26" s="199"/>
      <c r="D26" s="352"/>
      <c r="E26" s="288"/>
      <c r="F26" s="2" t="s">
        <v>245</v>
      </c>
      <c r="G26" s="20">
        <f>$D$17</f>
        <v>2950000</v>
      </c>
      <c r="H26" s="3"/>
    </row>
    <row r="27" spans="2:17" s="1" customFormat="1" x14ac:dyDescent="0.25">
      <c r="B27" s="199" t="s">
        <v>405</v>
      </c>
      <c r="D27" s="189">
        <v>1500</v>
      </c>
      <c r="E27" s="288"/>
      <c r="F27" s="2" t="s">
        <v>246</v>
      </c>
      <c r="G27" s="20">
        <f>$D$18</f>
        <v>10000</v>
      </c>
      <c r="H27" s="3"/>
    </row>
    <row r="28" spans="2:17" s="1" customFormat="1" x14ac:dyDescent="0.25">
      <c r="B28" s="199" t="s">
        <v>406</v>
      </c>
      <c r="D28" s="189">
        <v>2500</v>
      </c>
      <c r="E28" s="352"/>
      <c r="F28" s="64" t="s">
        <v>247</v>
      </c>
      <c r="G28" s="13"/>
      <c r="H28" s="101">
        <f>G26+G27</f>
        <v>2960000</v>
      </c>
      <c r="Q28" s="353"/>
    </row>
    <row r="29" spans="2:17" s="1" customFormat="1" x14ac:dyDescent="0.25">
      <c r="B29" s="199" t="s">
        <v>407</v>
      </c>
      <c r="D29" s="189">
        <v>100000</v>
      </c>
      <c r="E29" s="352"/>
      <c r="F29" s="64"/>
      <c r="G29" s="13"/>
      <c r="H29" s="101"/>
    </row>
    <row r="30" spans="2:17" s="1" customFormat="1" x14ac:dyDescent="0.25">
      <c r="B30" s="199" t="s">
        <v>408</v>
      </c>
      <c r="C30"/>
      <c r="D30" s="189">
        <v>12000</v>
      </c>
      <c r="E30" s="288"/>
      <c r="F30" s="64" t="s">
        <v>248</v>
      </c>
      <c r="G30" s="13"/>
      <c r="H30" s="21"/>
      <c r="Q30" s="353"/>
    </row>
    <row r="31" spans="2:17" s="1" customFormat="1" x14ac:dyDescent="0.25">
      <c r="B31" s="199" t="s">
        <v>409</v>
      </c>
      <c r="D31" s="319">
        <v>0.15</v>
      </c>
      <c r="E31" s="288"/>
      <c r="F31" s="102" t="s">
        <v>249</v>
      </c>
      <c r="G31" s="20">
        <f>D29+(D30*(D20-1))</f>
        <v>196000</v>
      </c>
      <c r="H31" s="3"/>
    </row>
    <row r="32" spans="2:17" s="1" customFormat="1" x14ac:dyDescent="0.25">
      <c r="B32" s="199" t="s">
        <v>410</v>
      </c>
      <c r="D32" s="319">
        <v>0.1</v>
      </c>
      <c r="E32" s="288"/>
      <c r="F32" s="2" t="s">
        <v>66</v>
      </c>
      <c r="G32" s="20">
        <f>(H37+D29)*D31</f>
        <v>396003.75</v>
      </c>
      <c r="H32" s="3"/>
      <c r="M32" s="13"/>
    </row>
    <row r="33" spans="2:17" s="1" customFormat="1" x14ac:dyDescent="0.25">
      <c r="B33" s="199" t="s">
        <v>411</v>
      </c>
      <c r="D33" s="319">
        <v>0.05</v>
      </c>
      <c r="E33" s="352"/>
      <c r="F33" s="2" t="s">
        <v>85</v>
      </c>
      <c r="G33" s="20">
        <f>(D29+H37)*D32</f>
        <v>264002.5</v>
      </c>
      <c r="H33" s="3"/>
      <c r="P33" s="354"/>
    </row>
    <row r="34" spans="2:17" s="1" customFormat="1" x14ac:dyDescent="0.25">
      <c r="B34" s="199" t="s">
        <v>412</v>
      </c>
      <c r="D34" s="319">
        <v>0.05</v>
      </c>
      <c r="E34" s="352"/>
      <c r="F34" s="2" t="s">
        <v>357</v>
      </c>
      <c r="G34" s="20">
        <f>(($G$26-D49)+$G$27)*SUM($D$36:$D$38)/12*D34</f>
        <v>750</v>
      </c>
      <c r="H34" s="3"/>
      <c r="P34" s="354"/>
    </row>
    <row r="35" spans="2:17" s="1" customFormat="1" x14ac:dyDescent="0.25">
      <c r="B35" s="199"/>
      <c r="D35" s="288"/>
      <c r="E35" s="352"/>
      <c r="F35" s="2" t="s">
        <v>358</v>
      </c>
      <c r="G35" s="20">
        <f>(G31+G32+G33+H37)*SUM($D$36:$D$38)/12*D33*0.5</f>
        <v>127351.171875</v>
      </c>
      <c r="H35" s="101">
        <f>SUM(G31:G35)</f>
        <v>984107.421875</v>
      </c>
      <c r="M35" s="13"/>
      <c r="N35" s="13"/>
      <c r="O35" s="13"/>
      <c r="P35" s="355"/>
    </row>
    <row r="36" spans="2:17" s="1" customFormat="1" x14ac:dyDescent="0.25">
      <c r="B36" s="199" t="s">
        <v>413</v>
      </c>
      <c r="D36" s="304">
        <v>6</v>
      </c>
      <c r="E36" s="288"/>
      <c r="F36" s="2"/>
      <c r="H36" s="3"/>
      <c r="P36" s="356"/>
      <c r="Q36" s="357"/>
    </row>
    <row r="37" spans="2:17" s="1" customFormat="1" ht="17.25" x14ac:dyDescent="0.4">
      <c r="B37" s="199" t="s">
        <v>414</v>
      </c>
      <c r="D37" s="304">
        <v>12</v>
      </c>
      <c r="E37" s="187"/>
      <c r="F37" s="64" t="s">
        <v>43</v>
      </c>
      <c r="H37" s="101">
        <f>D20*D21*D28</f>
        <v>2540025</v>
      </c>
      <c r="P37" s="358"/>
    </row>
    <row r="38" spans="2:17" s="1" customFormat="1" x14ac:dyDescent="0.25">
      <c r="B38" s="199" t="s">
        <v>415</v>
      </c>
      <c r="D38" s="304">
        <v>0</v>
      </c>
      <c r="E38" s="187"/>
      <c r="F38" s="2"/>
      <c r="H38" s="3"/>
      <c r="P38" s="357"/>
    </row>
    <row r="39" spans="2:17" s="1" customFormat="1" ht="18" thickBot="1" x14ac:dyDescent="0.45">
      <c r="B39" s="13"/>
      <c r="E39" s="187"/>
      <c r="F39" s="359" t="s">
        <v>250</v>
      </c>
      <c r="G39" s="360"/>
      <c r="H39" s="361">
        <f>H35+H37+H28</f>
        <v>6484132.421875</v>
      </c>
      <c r="I39" s="46"/>
      <c r="M39" s="187"/>
      <c r="P39" s="358"/>
    </row>
    <row r="40" spans="2:17" s="1" customFormat="1" ht="15.75" thickBot="1" x14ac:dyDescent="0.3">
      <c r="B40" s="199" t="s">
        <v>416</v>
      </c>
      <c r="D40" s="319">
        <v>0</v>
      </c>
      <c r="E40" s="43">
        <f>IF(D40&gt;=G40,0,1)</f>
        <v>0</v>
      </c>
      <c r="F40" s="362" t="s">
        <v>253</v>
      </c>
      <c r="G40" s="363">
        <f>H40/(H39)</f>
        <v>-6.3401978969264503E-3</v>
      </c>
      <c r="H40" s="364">
        <f>H23-H39</f>
        <v>-41110.682744564489</v>
      </c>
      <c r="I40" s="100"/>
      <c r="J40" s="100"/>
      <c r="K40" s="100"/>
      <c r="P40" s="356"/>
    </row>
    <row r="41" spans="2:17" s="1" customFormat="1" x14ac:dyDescent="0.25">
      <c r="B41" s="199"/>
      <c r="D41" s="352"/>
      <c r="E41" s="43"/>
      <c r="I41" s="100"/>
      <c r="J41" s="100"/>
      <c r="K41" s="100"/>
      <c r="P41" s="356"/>
    </row>
    <row r="42" spans="2:17" s="1" customFormat="1" x14ac:dyDescent="0.25">
      <c r="B42" s="138" t="s">
        <v>254</v>
      </c>
      <c r="F42" s="138" t="s">
        <v>437</v>
      </c>
      <c r="G42" s="138"/>
      <c r="P42" s="365"/>
    </row>
    <row r="43" spans="2:17" s="1" customFormat="1" x14ac:dyDescent="0.25">
      <c r="B43" s="138"/>
      <c r="P43" s="356"/>
    </row>
    <row r="44" spans="2:17" s="1" customFormat="1" ht="15.75" customHeight="1" x14ac:dyDescent="0.25">
      <c r="B44" s="199" t="s">
        <v>395</v>
      </c>
      <c r="D44" s="347">
        <f>IF(D14=Codes!V2,((H39)/D20),D22)</f>
        <v>825000</v>
      </c>
      <c r="F44" s="13" t="s">
        <v>427</v>
      </c>
      <c r="G44" s="13"/>
    </row>
    <row r="45" spans="2:17" s="1" customFormat="1" ht="15.75" customHeight="1" x14ac:dyDescent="0.25">
      <c r="B45" s="199" t="s">
        <v>417</v>
      </c>
      <c r="D45" s="319">
        <v>0.45</v>
      </c>
      <c r="E45" s="352"/>
      <c r="F45" s="1" t="s">
        <v>422</v>
      </c>
      <c r="H45" s="288">
        <f>$D$23*$D$20</f>
        <v>3406500</v>
      </c>
    </row>
    <row r="46" spans="2:17" s="1" customFormat="1" x14ac:dyDescent="0.25">
      <c r="B46" s="366" t="s">
        <v>420</v>
      </c>
      <c r="C46" s="367"/>
      <c r="D46" s="347">
        <f>D44*D45</f>
        <v>371250</v>
      </c>
      <c r="F46" s="1" t="s">
        <v>423</v>
      </c>
      <c r="H46" s="288">
        <f>$D$46*$D$20</f>
        <v>3341250</v>
      </c>
    </row>
    <row r="47" spans="2:17" s="1" customFormat="1" x14ac:dyDescent="0.25">
      <c r="B47" s="199"/>
      <c r="F47" s="1" t="s">
        <v>424</v>
      </c>
      <c r="H47" s="288">
        <f>$D$49</f>
        <v>2950000</v>
      </c>
    </row>
    <row r="48" spans="2:17" s="1" customFormat="1" x14ac:dyDescent="0.25">
      <c r="B48" s="199" t="s">
        <v>418</v>
      </c>
      <c r="F48" s="12" t="s">
        <v>425</v>
      </c>
      <c r="G48" s="12"/>
      <c r="H48" s="368">
        <f>D50+D51+D52</f>
        <v>0</v>
      </c>
    </row>
    <row r="49" spans="2:12" s="1" customFormat="1" x14ac:dyDescent="0.25">
      <c r="C49" s="369" t="s">
        <v>255</v>
      </c>
      <c r="D49" s="318">
        <v>2950000</v>
      </c>
      <c r="E49" s="347"/>
      <c r="H49" s="288">
        <f>SUM($H$45:$H$48)</f>
        <v>9697750</v>
      </c>
    </row>
    <row r="50" spans="2:12" s="1" customFormat="1" x14ac:dyDescent="0.25">
      <c r="C50" s="320" t="s">
        <v>435</v>
      </c>
      <c r="D50" s="189">
        <v>0</v>
      </c>
      <c r="E50" s="288"/>
      <c r="F50" s="13" t="s">
        <v>428</v>
      </c>
      <c r="G50" s="13"/>
    </row>
    <row r="51" spans="2:12" s="1" customFormat="1" ht="15" customHeight="1" x14ac:dyDescent="0.25">
      <c r="C51" s="320" t="s">
        <v>256</v>
      </c>
      <c r="D51" s="189">
        <v>0</v>
      </c>
      <c r="E51" s="288"/>
      <c r="F51" s="1" t="s">
        <v>430</v>
      </c>
      <c r="H51" s="288">
        <f>$D$44*$D$20</f>
        <v>7425000</v>
      </c>
      <c r="J51" s="46"/>
      <c r="K51" s="46"/>
    </row>
    <row r="52" spans="2:12" s="1" customFormat="1" x14ac:dyDescent="0.25">
      <c r="C52" s="320" t="s">
        <v>257</v>
      </c>
      <c r="D52" s="189">
        <v>0</v>
      </c>
      <c r="E52" s="288"/>
      <c r="F52" s="1" t="s">
        <v>429</v>
      </c>
      <c r="H52" s="288">
        <f>(H45-(H45/1.15))</f>
        <v>444326.0869565215</v>
      </c>
      <c r="J52" s="46"/>
      <c r="K52" s="46"/>
    </row>
    <row r="53" spans="2:12" s="1" customFormat="1" x14ac:dyDescent="0.25">
      <c r="C53" s="370"/>
      <c r="D53" s="288"/>
      <c r="E53" s="288"/>
      <c r="F53" s="12" t="s">
        <v>426</v>
      </c>
      <c r="G53" s="12"/>
      <c r="H53" s="368">
        <f>D27*D20</f>
        <v>13500</v>
      </c>
      <c r="I53" s="371"/>
      <c r="J53" s="201"/>
      <c r="K53" s="201"/>
      <c r="L53" s="371"/>
    </row>
    <row r="54" spans="2:12" s="1" customFormat="1" x14ac:dyDescent="0.25">
      <c r="E54" s="288"/>
      <c r="H54" s="288">
        <f>SUM(H51:H53)</f>
        <v>7882826.0869565215</v>
      </c>
      <c r="I54" s="371"/>
      <c r="J54" s="201"/>
      <c r="K54" s="201"/>
      <c r="L54" s="371"/>
    </row>
    <row r="55" spans="2:12" s="1" customFormat="1" ht="15.75" thickBot="1" x14ac:dyDescent="0.3">
      <c r="B55" s="202"/>
      <c r="E55" s="288"/>
      <c r="I55" s="371"/>
      <c r="J55" s="201"/>
      <c r="K55" s="201"/>
      <c r="L55" s="371"/>
    </row>
    <row r="56" spans="2:12" s="1" customFormat="1" x14ac:dyDescent="0.25">
      <c r="B56" s="202"/>
      <c r="E56" s="288"/>
      <c r="F56" s="372" t="s">
        <v>419</v>
      </c>
      <c r="G56" s="373"/>
      <c r="H56" s="374">
        <f>H49-H54</f>
        <v>1814923.9130434785</v>
      </c>
      <c r="I56" s="371"/>
      <c r="J56" s="201"/>
      <c r="K56" s="201"/>
      <c r="L56" s="371"/>
    </row>
    <row r="57" spans="2:12" s="1" customFormat="1" x14ac:dyDescent="0.25">
      <c r="E57" s="288"/>
      <c r="F57" s="200"/>
      <c r="H57" s="275"/>
      <c r="I57" s="371"/>
      <c r="J57" s="201"/>
      <c r="K57" s="201"/>
      <c r="L57" s="371"/>
    </row>
    <row r="58" spans="2:12" s="1" customFormat="1" x14ac:dyDescent="0.25">
      <c r="B58" s="371" t="s">
        <v>453</v>
      </c>
      <c r="F58" s="375" t="s">
        <v>452</v>
      </c>
      <c r="G58" s="13"/>
      <c r="H58" s="376">
        <f>D24*D20</f>
        <v>4018500</v>
      </c>
      <c r="I58" s="371"/>
      <c r="J58" s="201"/>
      <c r="K58" s="201"/>
      <c r="L58" s="371"/>
    </row>
    <row r="59" spans="2:12" s="1" customFormat="1" x14ac:dyDescent="0.25">
      <c r="B59" s="578" t="s">
        <v>454</v>
      </c>
      <c r="E59" s="288"/>
      <c r="F59" s="375" t="s">
        <v>404</v>
      </c>
      <c r="G59" s="13"/>
      <c r="H59" s="376">
        <f>(D24*D20)*D25</f>
        <v>60277.5</v>
      </c>
      <c r="I59" s="371"/>
      <c r="J59" s="201"/>
      <c r="K59" s="201"/>
      <c r="L59" s="371"/>
    </row>
    <row r="60" spans="2:12" s="1" customFormat="1" x14ac:dyDescent="0.25">
      <c r="E60" s="288"/>
      <c r="F60" s="375"/>
      <c r="G60" s="13"/>
      <c r="H60" s="376"/>
      <c r="I60" s="371"/>
      <c r="J60" s="201"/>
      <c r="K60" s="201"/>
      <c r="L60" s="371"/>
    </row>
    <row r="61" spans="2:12" s="1" customFormat="1" x14ac:dyDescent="0.25">
      <c r="E61" s="288"/>
      <c r="F61" s="375" t="s">
        <v>421</v>
      </c>
      <c r="G61" s="13"/>
      <c r="H61" s="376">
        <f>D46*-D20</f>
        <v>-3341250</v>
      </c>
      <c r="I61" s="371"/>
      <c r="J61" s="201"/>
      <c r="K61" s="201"/>
      <c r="L61" s="371"/>
    </row>
    <row r="62" spans="2:12" s="1" customFormat="1" ht="15.75" thickBot="1" x14ac:dyDescent="0.3">
      <c r="E62" s="288"/>
      <c r="F62" s="377" t="s">
        <v>397</v>
      </c>
      <c r="G62" s="378"/>
      <c r="H62" s="379">
        <f>IF(H56&gt;=0,0,H56)</f>
        <v>0</v>
      </c>
      <c r="I62" s="371"/>
      <c r="J62" s="201"/>
      <c r="K62" s="201"/>
      <c r="L62" s="371"/>
    </row>
    <row r="63" spans="2:12" s="1" customFormat="1" x14ac:dyDescent="0.25">
      <c r="E63" s="288"/>
      <c r="I63" s="371"/>
      <c r="J63" s="201"/>
      <c r="K63" s="201"/>
      <c r="L63" s="371"/>
    </row>
    <row r="64" spans="2:12" s="1" customFormat="1" x14ac:dyDescent="0.25">
      <c r="E64" s="288"/>
      <c r="I64" s="371"/>
      <c r="J64" s="201"/>
      <c r="K64" s="201"/>
      <c r="L64" s="371"/>
    </row>
    <row r="65" spans="3:12" s="1" customFormat="1" x14ac:dyDescent="0.25">
      <c r="E65" s="288"/>
      <c r="I65" s="371"/>
      <c r="J65" s="201"/>
      <c r="K65" s="201"/>
      <c r="L65" s="371"/>
    </row>
    <row r="66" spans="3:12" s="1" customFormat="1" x14ac:dyDescent="0.25">
      <c r="C66" s="13"/>
      <c r="D66" s="296"/>
      <c r="E66" s="296"/>
      <c r="I66" s="371"/>
      <c r="J66" s="201"/>
      <c r="K66" s="201"/>
      <c r="L66" s="371"/>
    </row>
    <row r="67" spans="3:12" s="1" customFormat="1" x14ac:dyDescent="0.25">
      <c r="D67" s="288"/>
      <c r="E67" s="288"/>
      <c r="I67" s="371"/>
      <c r="J67" s="201"/>
      <c r="K67" s="201"/>
      <c r="L67" s="371"/>
    </row>
    <row r="68" spans="3:12" s="1" customFormat="1" x14ac:dyDescent="0.25">
      <c r="D68" s="288"/>
      <c r="E68" s="288"/>
      <c r="I68" s="371"/>
      <c r="J68" s="201"/>
      <c r="K68" s="201"/>
      <c r="L68" s="371"/>
    </row>
    <row r="69" spans="3:12" s="1" customFormat="1" x14ac:dyDescent="0.25">
      <c r="D69" s="288"/>
      <c r="E69" s="288"/>
      <c r="I69" s="371"/>
      <c r="J69" s="201"/>
      <c r="K69" s="201"/>
      <c r="L69" s="371"/>
    </row>
    <row r="70" spans="3:12" s="1" customFormat="1" x14ac:dyDescent="0.25">
      <c r="D70" s="288"/>
      <c r="E70" s="288"/>
      <c r="I70" s="371"/>
      <c r="J70" s="201"/>
      <c r="K70" s="201"/>
      <c r="L70" s="371"/>
    </row>
    <row r="71" spans="3:12" s="1" customFormat="1" x14ac:dyDescent="0.25">
      <c r="D71" s="288"/>
      <c r="E71" s="288"/>
      <c r="I71" s="371"/>
      <c r="J71" s="201"/>
      <c r="K71" s="201"/>
      <c r="L71" s="371"/>
    </row>
    <row r="72" spans="3:12" s="1" customFormat="1" x14ac:dyDescent="0.25">
      <c r="C72" s="13"/>
      <c r="I72" s="371"/>
      <c r="J72" s="201"/>
      <c r="K72" s="201"/>
      <c r="L72" s="371"/>
    </row>
    <row r="73" spans="3:12" s="1" customFormat="1" x14ac:dyDescent="0.25">
      <c r="D73" s="288"/>
      <c r="E73" s="288"/>
      <c r="I73" s="371"/>
      <c r="J73" s="201"/>
      <c r="K73" s="201"/>
      <c r="L73" s="371"/>
    </row>
    <row r="74" spans="3:12" s="1" customFormat="1" x14ac:dyDescent="0.25">
      <c r="D74" s="288"/>
      <c r="E74" s="288"/>
      <c r="I74" s="371"/>
      <c r="J74" s="201"/>
      <c r="K74" s="201"/>
      <c r="L74" s="371"/>
    </row>
    <row r="75" spans="3:12" s="1" customFormat="1" x14ac:dyDescent="0.25">
      <c r="D75" s="288"/>
      <c r="E75" s="288"/>
      <c r="I75" s="371"/>
      <c r="J75" s="201"/>
      <c r="K75" s="201"/>
      <c r="L75" s="371"/>
    </row>
    <row r="76" spans="3:12" s="1" customFormat="1" x14ac:dyDescent="0.25">
      <c r="D76" s="288"/>
      <c r="E76" s="288"/>
      <c r="I76" s="371"/>
      <c r="J76" s="201"/>
      <c r="K76" s="201"/>
      <c r="L76" s="371"/>
    </row>
    <row r="77" spans="3:12" s="1" customFormat="1" x14ac:dyDescent="0.25">
      <c r="I77" s="371"/>
      <c r="J77" s="201"/>
      <c r="K77" s="201"/>
      <c r="L77" s="371"/>
    </row>
    <row r="78" spans="3:12" s="1" customFormat="1" x14ac:dyDescent="0.25">
      <c r="I78" s="371"/>
      <c r="J78" s="201"/>
      <c r="K78" s="201"/>
      <c r="L78" s="371"/>
    </row>
    <row r="79" spans="3:12" s="1" customFormat="1" x14ac:dyDescent="0.25">
      <c r="I79" s="371"/>
      <c r="J79" s="201"/>
      <c r="K79" s="201"/>
      <c r="L79" s="371"/>
    </row>
    <row r="80" spans="3:12" s="1" customFormat="1" x14ac:dyDescent="0.25">
      <c r="I80" s="371"/>
      <c r="J80" s="201"/>
      <c r="K80" s="201"/>
      <c r="L80" s="371"/>
    </row>
    <row r="81" spans="2:12" s="1" customFormat="1" x14ac:dyDescent="0.25">
      <c r="I81" s="371"/>
      <c r="J81" s="201"/>
      <c r="K81" s="201"/>
      <c r="L81" s="371"/>
    </row>
    <row r="82" spans="2:12" s="1" customFormat="1" x14ac:dyDescent="0.25">
      <c r="I82" s="371"/>
      <c r="J82" s="201"/>
      <c r="K82" s="201"/>
      <c r="L82" s="371"/>
    </row>
    <row r="83" spans="2:12" s="1" customFormat="1" x14ac:dyDescent="0.25">
      <c r="I83" s="371"/>
      <c r="J83" s="201"/>
      <c r="K83" s="201"/>
      <c r="L83" s="371"/>
    </row>
    <row r="84" spans="2:12" s="1" customFormat="1" x14ac:dyDescent="0.25">
      <c r="I84" s="371"/>
      <c r="J84" s="201"/>
      <c r="K84" s="201"/>
      <c r="L84" s="371"/>
    </row>
    <row r="85" spans="2:12" s="1" customFormat="1" x14ac:dyDescent="0.25">
      <c r="C85" s="8"/>
      <c r="E85" s="380"/>
    </row>
    <row r="86" spans="2:12" s="1" customFormat="1" x14ac:dyDescent="0.25"/>
    <row r="87" spans="2:12" s="1" customFormat="1" x14ac:dyDescent="0.25">
      <c r="C87" s="8"/>
    </row>
    <row r="88" spans="2:12" s="1" customFormat="1" x14ac:dyDescent="0.25">
      <c r="B88" s="202"/>
      <c r="C88" s="8"/>
      <c r="J88" s="201"/>
      <c r="K88" s="201"/>
    </row>
    <row r="89" spans="2:12" s="1" customFormat="1" x14ac:dyDescent="0.25">
      <c r="B89" s="202"/>
      <c r="C89" s="8"/>
      <c r="J89" s="201"/>
      <c r="K89" s="201"/>
    </row>
    <row r="90" spans="2:12" s="1" customFormat="1" x14ac:dyDescent="0.25">
      <c r="B90" s="202"/>
      <c r="C90" s="8"/>
    </row>
    <row r="91" spans="2:12" s="1" customFormat="1" x14ac:dyDescent="0.25"/>
    <row r="92" spans="2:12" s="1" customFormat="1" x14ac:dyDescent="0.25"/>
    <row r="93" spans="2:12" s="1" customFormat="1" x14ac:dyDescent="0.25"/>
    <row r="94" spans="2:12" s="1" customFormat="1" x14ac:dyDescent="0.25">
      <c r="B94" s="13"/>
      <c r="C94" s="37"/>
      <c r="D94" s="381"/>
    </row>
    <row r="95" spans="2:12" s="1" customFormat="1" x14ac:dyDescent="0.25"/>
    <row r="96" spans="2:12" s="1" customFormat="1" x14ac:dyDescent="0.25">
      <c r="B96" s="13"/>
    </row>
    <row r="97" spans="2:4" s="1" customFormat="1" x14ac:dyDescent="0.25">
      <c r="D97" s="381"/>
    </row>
    <row r="98" spans="2:4" s="1" customFormat="1" x14ac:dyDescent="0.25"/>
    <row r="99" spans="2:4" s="1" customFormat="1" x14ac:dyDescent="0.25">
      <c r="B99" s="334"/>
      <c r="D99" s="187"/>
    </row>
    <row r="100" spans="2:4" s="1" customFormat="1" x14ac:dyDescent="0.25">
      <c r="D100" s="347"/>
    </row>
    <row r="101" spans="2:4" s="1" customFormat="1" x14ac:dyDescent="0.25">
      <c r="D101" s="347"/>
    </row>
    <row r="102" spans="2:4" s="1" customFormat="1" x14ac:dyDescent="0.25">
      <c r="D102" s="347"/>
    </row>
    <row r="103" spans="2:4" s="1" customFormat="1" x14ac:dyDescent="0.25"/>
    <row r="104" spans="2:4" s="1" customFormat="1" x14ac:dyDescent="0.25"/>
    <row r="105" spans="2:4" s="1" customFormat="1" x14ac:dyDescent="0.25"/>
    <row r="106" spans="2:4" s="1" customFormat="1" x14ac:dyDescent="0.25"/>
    <row r="107" spans="2:4" s="1" customFormat="1" x14ac:dyDescent="0.25"/>
    <row r="108" spans="2:4" s="1" customFormat="1" x14ac:dyDescent="0.25"/>
    <row r="109" spans="2:4" s="1" customFormat="1" x14ac:dyDescent="0.25"/>
    <row r="110" spans="2:4" s="1" customFormat="1" x14ac:dyDescent="0.25"/>
    <row r="111" spans="2:4" s="1" customFormat="1" x14ac:dyDescent="0.25"/>
    <row r="112" spans="2:4"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row r="877" s="1" customFormat="1" x14ac:dyDescent="0.25"/>
    <row r="878" s="1" customFormat="1" x14ac:dyDescent="0.25"/>
    <row r="879" s="1" customFormat="1" x14ac:dyDescent="0.25"/>
    <row r="880" s="1" customFormat="1" x14ac:dyDescent="0.25"/>
    <row r="881" s="1" customFormat="1" x14ac:dyDescent="0.25"/>
    <row r="882" s="1" customFormat="1" x14ac:dyDescent="0.25"/>
    <row r="883" s="1" customFormat="1" x14ac:dyDescent="0.25"/>
    <row r="884" s="1" customFormat="1" x14ac:dyDescent="0.25"/>
    <row r="885" s="1" customFormat="1" x14ac:dyDescent="0.25"/>
    <row r="886" s="1" customFormat="1" x14ac:dyDescent="0.25"/>
    <row r="887" s="1" customFormat="1" x14ac:dyDescent="0.25"/>
    <row r="888" s="1" customFormat="1" x14ac:dyDescent="0.25"/>
    <row r="889" s="1" customFormat="1" x14ac:dyDescent="0.25"/>
    <row r="890" s="1" customFormat="1" x14ac:dyDescent="0.25"/>
    <row r="891" s="1" customFormat="1" x14ac:dyDescent="0.25"/>
    <row r="892" s="1" customFormat="1" x14ac:dyDescent="0.25"/>
    <row r="893" s="1" customFormat="1" x14ac:dyDescent="0.25"/>
    <row r="894" s="1" customFormat="1" x14ac:dyDescent="0.25"/>
    <row r="895" s="1" customFormat="1" x14ac:dyDescent="0.25"/>
    <row r="896" s="1" customFormat="1" x14ac:dyDescent="0.25"/>
    <row r="897" s="1" customFormat="1" x14ac:dyDescent="0.25"/>
    <row r="898" s="1" customFormat="1" x14ac:dyDescent="0.25"/>
    <row r="899" s="1" customFormat="1" x14ac:dyDescent="0.25"/>
    <row r="900" s="1" customFormat="1" x14ac:dyDescent="0.25"/>
    <row r="901" s="1" customFormat="1" x14ac:dyDescent="0.25"/>
    <row r="902" s="1" customFormat="1" x14ac:dyDescent="0.25"/>
    <row r="903" s="1" customFormat="1" x14ac:dyDescent="0.25"/>
    <row r="904" s="1" customFormat="1" x14ac:dyDescent="0.25"/>
    <row r="905" s="1" customFormat="1" x14ac:dyDescent="0.25"/>
    <row r="906" s="1" customFormat="1" x14ac:dyDescent="0.25"/>
    <row r="907" s="1" customFormat="1" x14ac:dyDescent="0.25"/>
    <row r="908" s="1" customFormat="1" x14ac:dyDescent="0.25"/>
    <row r="909" s="1" customFormat="1" x14ac:dyDescent="0.25"/>
    <row r="910" s="1" customFormat="1" x14ac:dyDescent="0.25"/>
    <row r="911" s="1" customFormat="1" x14ac:dyDescent="0.25"/>
    <row r="912" s="1" customFormat="1" x14ac:dyDescent="0.25"/>
    <row r="913" s="1" customFormat="1" x14ac:dyDescent="0.25"/>
    <row r="914" s="1" customFormat="1" x14ac:dyDescent="0.25"/>
    <row r="915" s="1" customFormat="1" x14ac:dyDescent="0.25"/>
    <row r="916" s="1" customFormat="1" x14ac:dyDescent="0.25"/>
    <row r="917" s="1" customFormat="1" x14ac:dyDescent="0.25"/>
    <row r="918" s="1" customFormat="1" x14ac:dyDescent="0.25"/>
    <row r="919" s="1" customFormat="1" x14ac:dyDescent="0.25"/>
    <row r="920" s="1" customFormat="1" x14ac:dyDescent="0.25"/>
    <row r="921" s="1" customFormat="1" x14ac:dyDescent="0.25"/>
    <row r="922" s="1" customFormat="1" x14ac:dyDescent="0.25"/>
    <row r="923" s="1" customFormat="1" x14ac:dyDescent="0.25"/>
    <row r="924" s="1" customFormat="1" x14ac:dyDescent="0.25"/>
    <row r="925" s="1" customFormat="1" x14ac:dyDescent="0.25"/>
    <row r="926" s="1" customFormat="1" x14ac:dyDescent="0.25"/>
    <row r="927" s="1" customFormat="1" x14ac:dyDescent="0.25"/>
    <row r="928" s="1" customFormat="1" x14ac:dyDescent="0.25"/>
    <row r="929" s="1" customFormat="1" x14ac:dyDescent="0.25"/>
    <row r="930" s="1" customFormat="1" x14ac:dyDescent="0.25"/>
    <row r="931" s="1" customFormat="1" x14ac:dyDescent="0.25"/>
    <row r="932" s="1" customFormat="1" x14ac:dyDescent="0.25"/>
    <row r="933" s="1" customFormat="1" x14ac:dyDescent="0.25"/>
    <row r="934" s="1" customFormat="1" x14ac:dyDescent="0.25"/>
    <row r="935" s="1" customFormat="1" x14ac:dyDescent="0.25"/>
    <row r="936" s="1" customFormat="1" x14ac:dyDescent="0.25"/>
    <row r="937" s="1" customFormat="1" x14ac:dyDescent="0.25"/>
    <row r="938" s="1" customFormat="1" x14ac:dyDescent="0.25"/>
    <row r="939" s="1" customFormat="1" x14ac:dyDescent="0.25"/>
    <row r="940" s="1" customFormat="1" x14ac:dyDescent="0.25"/>
    <row r="941" s="1" customFormat="1" x14ac:dyDescent="0.25"/>
    <row r="942" s="1" customFormat="1" x14ac:dyDescent="0.25"/>
    <row r="943" s="1" customFormat="1" x14ac:dyDescent="0.25"/>
    <row r="944" s="1" customFormat="1" x14ac:dyDescent="0.25"/>
    <row r="945" s="1" customFormat="1" x14ac:dyDescent="0.25"/>
    <row r="946" s="1" customFormat="1" x14ac:dyDescent="0.25"/>
    <row r="947" s="1" customFormat="1" x14ac:dyDescent="0.25"/>
    <row r="948" s="1" customFormat="1" x14ac:dyDescent="0.25"/>
    <row r="949" s="1" customFormat="1" x14ac:dyDescent="0.25"/>
    <row r="950" s="1" customFormat="1" x14ac:dyDescent="0.25"/>
    <row r="951" s="1" customFormat="1" x14ac:dyDescent="0.25"/>
    <row r="952" s="1" customFormat="1" x14ac:dyDescent="0.25"/>
    <row r="953" s="1" customFormat="1" x14ac:dyDescent="0.25"/>
    <row r="954" s="1" customFormat="1" x14ac:dyDescent="0.25"/>
    <row r="955" s="1" customFormat="1" x14ac:dyDescent="0.25"/>
    <row r="956" s="1" customFormat="1" x14ac:dyDescent="0.25"/>
    <row r="957" s="1" customFormat="1" x14ac:dyDescent="0.25"/>
    <row r="958" s="1" customFormat="1" x14ac:dyDescent="0.25"/>
    <row r="959" s="1" customFormat="1" x14ac:dyDescent="0.25"/>
    <row r="960" s="1" customFormat="1" x14ac:dyDescent="0.25"/>
    <row r="961" s="1" customFormat="1" x14ac:dyDescent="0.25"/>
    <row r="962" s="1" customFormat="1" x14ac:dyDescent="0.25"/>
    <row r="963" s="1" customFormat="1" x14ac:dyDescent="0.25"/>
    <row r="964" s="1" customFormat="1" x14ac:dyDescent="0.25"/>
    <row r="965" s="1" customFormat="1" x14ac:dyDescent="0.25"/>
    <row r="966" s="1" customFormat="1" x14ac:dyDescent="0.25"/>
    <row r="967" s="1" customFormat="1" x14ac:dyDescent="0.25"/>
    <row r="968" s="1" customFormat="1" x14ac:dyDescent="0.25"/>
    <row r="969" s="1" customFormat="1" x14ac:dyDescent="0.25"/>
    <row r="970" s="1" customFormat="1" x14ac:dyDescent="0.25"/>
    <row r="971" s="1" customFormat="1" x14ac:dyDescent="0.25"/>
    <row r="972" s="1" customFormat="1" x14ac:dyDescent="0.25"/>
    <row r="973" s="1" customFormat="1" x14ac:dyDescent="0.25"/>
    <row r="974" s="1" customFormat="1" x14ac:dyDescent="0.25"/>
    <row r="975" s="1" customFormat="1" x14ac:dyDescent="0.25"/>
    <row r="976" s="1" customFormat="1" x14ac:dyDescent="0.25"/>
    <row r="977" s="1" customFormat="1" x14ac:dyDescent="0.25"/>
    <row r="978" s="1" customFormat="1" x14ac:dyDescent="0.25"/>
    <row r="979" s="1" customFormat="1" x14ac:dyDescent="0.25"/>
    <row r="980" s="1" customFormat="1" x14ac:dyDescent="0.25"/>
    <row r="981" s="1" customFormat="1" x14ac:dyDescent="0.25"/>
    <row r="982" s="1" customFormat="1" x14ac:dyDescent="0.25"/>
    <row r="983" s="1" customFormat="1" x14ac:dyDescent="0.25"/>
    <row r="984" s="1" customFormat="1" x14ac:dyDescent="0.25"/>
    <row r="985" s="1" customFormat="1" x14ac:dyDescent="0.25"/>
    <row r="986" s="1" customFormat="1" x14ac:dyDescent="0.25"/>
    <row r="987" s="1" customFormat="1" x14ac:dyDescent="0.25"/>
    <row r="988" s="1" customFormat="1" x14ac:dyDescent="0.25"/>
    <row r="989" s="1" customFormat="1" x14ac:dyDescent="0.25"/>
    <row r="990" s="1" customFormat="1" x14ac:dyDescent="0.25"/>
    <row r="991" s="1" customFormat="1" x14ac:dyDescent="0.25"/>
    <row r="992" s="1" customFormat="1" x14ac:dyDescent="0.25"/>
    <row r="993" s="1" customFormat="1" x14ac:dyDescent="0.25"/>
    <row r="994" s="1" customFormat="1" x14ac:dyDescent="0.25"/>
    <row r="995" s="1" customFormat="1" x14ac:dyDescent="0.25"/>
    <row r="996" s="1" customFormat="1" x14ac:dyDescent="0.25"/>
    <row r="997" s="1" customFormat="1" x14ac:dyDescent="0.25"/>
    <row r="998" s="1" customFormat="1" x14ac:dyDescent="0.25"/>
    <row r="999" s="1" customFormat="1" x14ac:dyDescent="0.25"/>
    <row r="1000" s="1" customFormat="1" x14ac:dyDescent="0.25"/>
    <row r="1001" s="1" customFormat="1" x14ac:dyDescent="0.25"/>
    <row r="1002" s="1" customFormat="1" x14ac:dyDescent="0.25"/>
    <row r="1003" s="1" customFormat="1" x14ac:dyDescent="0.25"/>
    <row r="1004" s="1" customFormat="1" x14ac:dyDescent="0.25"/>
    <row r="1005" s="1" customFormat="1" x14ac:dyDescent="0.25"/>
    <row r="1006" s="1" customFormat="1" x14ac:dyDescent="0.25"/>
    <row r="1007" s="1" customFormat="1" x14ac:dyDescent="0.25"/>
    <row r="1008" s="1" customFormat="1" x14ac:dyDescent="0.25"/>
    <row r="1009" s="1" customFormat="1" x14ac:dyDescent="0.25"/>
    <row r="1010" s="1" customFormat="1" x14ac:dyDescent="0.25"/>
    <row r="1011" s="1" customFormat="1" x14ac:dyDescent="0.25"/>
    <row r="1012" s="1" customFormat="1" x14ac:dyDescent="0.25"/>
    <row r="1013" s="1" customFormat="1" x14ac:dyDescent="0.25"/>
    <row r="1014" s="1" customFormat="1" x14ac:dyDescent="0.25"/>
    <row r="1015" s="1" customFormat="1" x14ac:dyDescent="0.25"/>
    <row r="1016" s="1" customFormat="1" x14ac:dyDescent="0.25"/>
    <row r="1017" s="1" customFormat="1" x14ac:dyDescent="0.25"/>
    <row r="1018" s="1" customFormat="1" x14ac:dyDescent="0.25"/>
    <row r="1019" s="1" customFormat="1" x14ac:dyDescent="0.25"/>
    <row r="1020" s="1" customFormat="1" x14ac:dyDescent="0.25"/>
    <row r="1021" s="1" customFormat="1" x14ac:dyDescent="0.25"/>
    <row r="1022" s="1" customFormat="1" x14ac:dyDescent="0.25"/>
    <row r="1023" s="1" customFormat="1" x14ac:dyDescent="0.25"/>
    <row r="1024" s="1" customFormat="1" x14ac:dyDescent="0.25"/>
    <row r="1025" s="1" customFormat="1" x14ac:dyDescent="0.25"/>
    <row r="1026" s="1" customFormat="1" x14ac:dyDescent="0.25"/>
    <row r="1027" s="1" customFormat="1" x14ac:dyDescent="0.25"/>
    <row r="1028" s="1" customFormat="1" x14ac:dyDescent="0.25"/>
    <row r="1029" s="1" customFormat="1" x14ac:dyDescent="0.25"/>
    <row r="1030" s="1" customFormat="1" x14ac:dyDescent="0.25"/>
    <row r="1031" s="1" customFormat="1" x14ac:dyDescent="0.25"/>
    <row r="1032" s="1" customFormat="1" x14ac:dyDescent="0.25"/>
    <row r="1033" s="1" customFormat="1" x14ac:dyDescent="0.25"/>
    <row r="1034" s="1" customFormat="1" x14ac:dyDescent="0.25"/>
    <row r="1035" s="1" customFormat="1" x14ac:dyDescent="0.25"/>
    <row r="1036" s="1" customFormat="1" x14ac:dyDescent="0.25"/>
    <row r="1037" s="1" customFormat="1" x14ac:dyDescent="0.25"/>
    <row r="1038" s="1" customFormat="1" x14ac:dyDescent="0.25"/>
    <row r="1039" s="1" customFormat="1" x14ac:dyDescent="0.25"/>
    <row r="1040" s="1" customFormat="1" x14ac:dyDescent="0.25"/>
    <row r="1041" s="1" customFormat="1" x14ac:dyDescent="0.25"/>
    <row r="1042" s="1" customFormat="1" x14ac:dyDescent="0.25"/>
    <row r="1043" s="1" customFormat="1" x14ac:dyDescent="0.25"/>
    <row r="1044" s="1" customFormat="1" x14ac:dyDescent="0.25"/>
    <row r="1045" s="1" customFormat="1" x14ac:dyDescent="0.25"/>
    <row r="1046" s="1" customFormat="1" x14ac:dyDescent="0.25"/>
    <row r="1047" s="1" customFormat="1" x14ac:dyDescent="0.25"/>
    <row r="1048" s="1" customFormat="1" x14ac:dyDescent="0.25"/>
    <row r="1049" s="1" customFormat="1" x14ac:dyDescent="0.25"/>
    <row r="1050" s="1" customFormat="1" x14ac:dyDescent="0.25"/>
    <row r="1051" s="1" customFormat="1" x14ac:dyDescent="0.25"/>
    <row r="1052" s="1" customFormat="1" x14ac:dyDescent="0.25"/>
    <row r="1053" s="1" customFormat="1" x14ac:dyDescent="0.25"/>
    <row r="1054" s="1" customFormat="1" x14ac:dyDescent="0.25"/>
    <row r="1055" s="1" customFormat="1" x14ac:dyDescent="0.25"/>
    <row r="1056" s="1" customFormat="1" x14ac:dyDescent="0.25"/>
    <row r="1057" s="1" customFormat="1" x14ac:dyDescent="0.25"/>
    <row r="1058" s="1" customFormat="1" x14ac:dyDescent="0.25"/>
    <row r="1059" s="1" customFormat="1" x14ac:dyDescent="0.25"/>
    <row r="1060" s="1" customFormat="1" x14ac:dyDescent="0.25"/>
    <row r="1061" s="1" customFormat="1" x14ac:dyDescent="0.25"/>
    <row r="1062" s="1" customFormat="1" x14ac:dyDescent="0.25"/>
    <row r="1063" s="1" customFormat="1" x14ac:dyDescent="0.25"/>
    <row r="1064" s="1" customFormat="1" x14ac:dyDescent="0.25"/>
    <row r="1065" s="1" customFormat="1" x14ac:dyDescent="0.25"/>
    <row r="1066" s="1" customFormat="1" x14ac:dyDescent="0.25"/>
    <row r="1067" s="1" customFormat="1" x14ac:dyDescent="0.25"/>
    <row r="1068" s="1" customFormat="1" x14ac:dyDescent="0.25"/>
    <row r="1069" s="1" customFormat="1" x14ac:dyDescent="0.25"/>
    <row r="1070" s="1" customFormat="1" x14ac:dyDescent="0.25"/>
    <row r="1071" s="1" customFormat="1" x14ac:dyDescent="0.25"/>
    <row r="1072" s="1" customFormat="1" x14ac:dyDescent="0.25"/>
    <row r="1073" s="1" customFormat="1" x14ac:dyDescent="0.25"/>
    <row r="1074" s="1" customFormat="1" x14ac:dyDescent="0.25"/>
    <row r="1075" s="1" customFormat="1" x14ac:dyDescent="0.25"/>
    <row r="1076" s="1" customFormat="1" x14ac:dyDescent="0.25"/>
    <row r="1077" s="1" customFormat="1" x14ac:dyDescent="0.25"/>
    <row r="1078" s="1" customFormat="1" x14ac:dyDescent="0.25"/>
    <row r="1079" s="1" customFormat="1" x14ac:dyDescent="0.25"/>
    <row r="1080" s="1" customFormat="1" x14ac:dyDescent="0.25"/>
    <row r="1081" s="1" customFormat="1" x14ac:dyDescent="0.25"/>
    <row r="1082" s="1" customFormat="1" x14ac:dyDescent="0.25"/>
    <row r="1083" s="1" customFormat="1" x14ac:dyDescent="0.25"/>
    <row r="1084" s="1" customFormat="1" x14ac:dyDescent="0.25"/>
    <row r="1085" s="1" customFormat="1" x14ac:dyDescent="0.25"/>
    <row r="1086" s="1" customFormat="1" x14ac:dyDescent="0.25"/>
    <row r="1087" s="1" customFormat="1" x14ac:dyDescent="0.25"/>
    <row r="1088" s="1" customFormat="1" x14ac:dyDescent="0.25"/>
    <row r="1089" s="1" customFormat="1" x14ac:dyDescent="0.25"/>
    <row r="1090" s="1" customFormat="1" x14ac:dyDescent="0.25"/>
    <row r="1091" s="1" customFormat="1" x14ac:dyDescent="0.25"/>
    <row r="1092" s="1" customFormat="1" x14ac:dyDescent="0.25"/>
    <row r="1093" s="1" customFormat="1" x14ac:dyDescent="0.25"/>
    <row r="1094" s="1" customFormat="1" x14ac:dyDescent="0.25"/>
    <row r="1095" s="1" customFormat="1" x14ac:dyDescent="0.25"/>
    <row r="1096" s="1" customFormat="1" x14ac:dyDescent="0.25"/>
    <row r="1097" s="1" customFormat="1" x14ac:dyDescent="0.25"/>
    <row r="1098" s="1" customFormat="1" x14ac:dyDescent="0.25"/>
    <row r="1099" s="1" customFormat="1" x14ac:dyDescent="0.25"/>
    <row r="1100" s="1" customFormat="1" x14ac:dyDescent="0.25"/>
    <row r="1101" s="1" customFormat="1" x14ac:dyDescent="0.25"/>
    <row r="1102" s="1" customFormat="1" x14ac:dyDescent="0.25"/>
    <row r="1103" s="1" customFormat="1" x14ac:dyDescent="0.25"/>
    <row r="1104" s="1" customFormat="1" x14ac:dyDescent="0.25"/>
    <row r="1105" s="1" customFormat="1" x14ac:dyDescent="0.25"/>
    <row r="1106" s="1" customFormat="1" x14ac:dyDescent="0.25"/>
    <row r="1107" s="1" customFormat="1" x14ac:dyDescent="0.25"/>
    <row r="1108" s="1" customFormat="1" x14ac:dyDescent="0.25"/>
    <row r="1109" s="1" customFormat="1" x14ac:dyDescent="0.25"/>
    <row r="1110" s="1" customFormat="1" x14ac:dyDescent="0.25"/>
    <row r="1111" s="1" customFormat="1" x14ac:dyDescent="0.25"/>
    <row r="1112" s="1" customFormat="1" x14ac:dyDescent="0.25"/>
    <row r="1113" s="1" customFormat="1" x14ac:dyDescent="0.25"/>
    <row r="1114" s="1" customFormat="1" x14ac:dyDescent="0.25"/>
    <row r="1115" s="1" customFormat="1" x14ac:dyDescent="0.25"/>
    <row r="1116" s="1" customFormat="1" x14ac:dyDescent="0.25"/>
    <row r="1117" s="1" customFormat="1" x14ac:dyDescent="0.25"/>
    <row r="1118" s="1" customFormat="1" x14ac:dyDescent="0.25"/>
    <row r="1119" s="1" customFormat="1" x14ac:dyDescent="0.25"/>
    <row r="1120" s="1" customFormat="1" x14ac:dyDescent="0.25"/>
    <row r="1121" s="1" customFormat="1" x14ac:dyDescent="0.25"/>
    <row r="1122" s="1" customFormat="1" x14ac:dyDescent="0.25"/>
    <row r="1123" s="1" customFormat="1" x14ac:dyDescent="0.25"/>
    <row r="1124" s="1" customFormat="1" x14ac:dyDescent="0.25"/>
    <row r="1125" s="1" customFormat="1" x14ac:dyDescent="0.25"/>
    <row r="1126" s="1" customFormat="1" x14ac:dyDescent="0.25"/>
    <row r="1127" s="1" customFormat="1" x14ac:dyDescent="0.25"/>
    <row r="1128" s="1" customFormat="1" x14ac:dyDescent="0.25"/>
    <row r="1129" s="1" customFormat="1" x14ac:dyDescent="0.25"/>
    <row r="1130" s="1" customFormat="1" x14ac:dyDescent="0.25"/>
    <row r="1131" s="1" customFormat="1" x14ac:dyDescent="0.25"/>
    <row r="1132" s="1" customFormat="1" x14ac:dyDescent="0.25"/>
    <row r="1133" s="1" customFormat="1" x14ac:dyDescent="0.25"/>
    <row r="1134" s="1" customFormat="1" x14ac:dyDescent="0.25"/>
    <row r="1135" s="1" customFormat="1" x14ac:dyDescent="0.25"/>
    <row r="1136" s="1" customFormat="1" x14ac:dyDescent="0.25"/>
    <row r="1137" s="1" customFormat="1" x14ac:dyDescent="0.25"/>
    <row r="1138" s="1" customFormat="1" x14ac:dyDescent="0.25"/>
    <row r="1139" s="1" customFormat="1" x14ac:dyDescent="0.25"/>
    <row r="1140" s="1" customFormat="1" x14ac:dyDescent="0.25"/>
    <row r="1141" s="1" customFormat="1" x14ac:dyDescent="0.25"/>
    <row r="1142" s="1" customFormat="1" x14ac:dyDescent="0.25"/>
    <row r="1143" s="1" customFormat="1" x14ac:dyDescent="0.25"/>
    <row r="1144" s="1" customFormat="1" x14ac:dyDescent="0.25"/>
    <row r="1145" s="1" customFormat="1" x14ac:dyDescent="0.25"/>
    <row r="1146" s="1" customFormat="1" x14ac:dyDescent="0.25"/>
    <row r="1147" s="1" customFormat="1" x14ac:dyDescent="0.25"/>
    <row r="1148" s="1" customFormat="1" x14ac:dyDescent="0.25"/>
    <row r="1149" s="1" customFormat="1" x14ac:dyDescent="0.25"/>
    <row r="1150" s="1" customFormat="1" x14ac:dyDescent="0.25"/>
    <row r="1151" s="1" customFormat="1" x14ac:dyDescent="0.25"/>
    <row r="1152" s="1" customFormat="1" x14ac:dyDescent="0.25"/>
    <row r="1153" s="1" customFormat="1" x14ac:dyDescent="0.25"/>
    <row r="1154" s="1" customFormat="1" x14ac:dyDescent="0.25"/>
    <row r="1155" s="1" customFormat="1" x14ac:dyDescent="0.25"/>
    <row r="1156" s="1" customFormat="1" x14ac:dyDescent="0.25"/>
    <row r="1157" s="1" customFormat="1" x14ac:dyDescent="0.25"/>
    <row r="1158" s="1" customFormat="1" x14ac:dyDescent="0.25"/>
    <row r="1159" s="1" customFormat="1" x14ac:dyDescent="0.25"/>
    <row r="1160" s="1" customFormat="1" x14ac:dyDescent="0.25"/>
    <row r="1161" s="1" customFormat="1" x14ac:dyDescent="0.25"/>
    <row r="1162" s="1" customFormat="1" x14ac:dyDescent="0.25"/>
    <row r="1163" s="1" customFormat="1" x14ac:dyDescent="0.25"/>
    <row r="1164" s="1" customFormat="1" x14ac:dyDescent="0.25"/>
    <row r="1165" s="1" customFormat="1" x14ac:dyDescent="0.25"/>
    <row r="1166" s="1" customFormat="1" x14ac:dyDescent="0.25"/>
    <row r="1167" s="1" customFormat="1" x14ac:dyDescent="0.25"/>
    <row r="1168" s="1" customFormat="1" x14ac:dyDescent="0.25"/>
    <row r="1169" s="1" customFormat="1" x14ac:dyDescent="0.25"/>
    <row r="1170" s="1" customFormat="1" x14ac:dyDescent="0.25"/>
    <row r="1171" s="1" customFormat="1" x14ac:dyDescent="0.25"/>
    <row r="1172" s="1" customFormat="1" x14ac:dyDescent="0.25"/>
    <row r="1173" s="1" customFormat="1" x14ac:dyDescent="0.25"/>
    <row r="1174" s="1" customFormat="1" x14ac:dyDescent="0.25"/>
    <row r="1175" s="1" customFormat="1" x14ac:dyDescent="0.25"/>
    <row r="1176" s="1" customFormat="1" x14ac:dyDescent="0.25"/>
    <row r="1177" s="1" customFormat="1" x14ac:dyDescent="0.25"/>
    <row r="1178" s="1" customFormat="1" x14ac:dyDescent="0.25"/>
    <row r="1179" s="1" customFormat="1" x14ac:dyDescent="0.25"/>
    <row r="1180" s="1" customFormat="1" x14ac:dyDescent="0.25"/>
    <row r="1181" s="1" customFormat="1" x14ac:dyDescent="0.25"/>
    <row r="1182" s="1" customFormat="1" x14ac:dyDescent="0.25"/>
    <row r="1183" s="1" customFormat="1" x14ac:dyDescent="0.25"/>
    <row r="1184" s="1" customFormat="1" x14ac:dyDescent="0.25"/>
    <row r="1185" s="1" customFormat="1" x14ac:dyDescent="0.25"/>
    <row r="1186" s="1" customFormat="1" x14ac:dyDescent="0.25"/>
    <row r="1187" s="1" customFormat="1" x14ac:dyDescent="0.25"/>
    <row r="1188" s="1" customFormat="1" x14ac:dyDescent="0.25"/>
    <row r="1189" s="1" customFormat="1" x14ac:dyDescent="0.25"/>
    <row r="1190" s="1" customFormat="1" x14ac:dyDescent="0.25"/>
    <row r="1191" s="1" customFormat="1" x14ac:dyDescent="0.25"/>
    <row r="1192" s="1" customFormat="1" x14ac:dyDescent="0.25"/>
    <row r="1193" s="1" customFormat="1" x14ac:dyDescent="0.25"/>
    <row r="1194" s="1" customFormat="1" x14ac:dyDescent="0.25"/>
    <row r="1195" s="1" customFormat="1" x14ac:dyDescent="0.25"/>
    <row r="1196" s="1" customFormat="1" x14ac:dyDescent="0.25"/>
    <row r="1197" s="1" customFormat="1" x14ac:dyDescent="0.25"/>
    <row r="1198" s="1" customFormat="1" x14ac:dyDescent="0.25"/>
    <row r="1199" s="1" customFormat="1" x14ac:dyDescent="0.25"/>
    <row r="1200" s="1" customFormat="1" x14ac:dyDescent="0.25"/>
    <row r="1201" s="1" customFormat="1" x14ac:dyDescent="0.25"/>
    <row r="1202" s="1" customFormat="1" x14ac:dyDescent="0.25"/>
    <row r="1203" s="1" customFormat="1" x14ac:dyDescent="0.25"/>
    <row r="1204" s="1" customFormat="1" x14ac:dyDescent="0.25"/>
    <row r="1205" s="1" customFormat="1" x14ac:dyDescent="0.25"/>
    <row r="1206" s="1" customFormat="1" x14ac:dyDescent="0.25"/>
    <row r="1207" s="1" customFormat="1" x14ac:dyDescent="0.25"/>
    <row r="1208" s="1" customFormat="1" x14ac:dyDescent="0.25"/>
    <row r="1209" s="1" customFormat="1" x14ac:dyDescent="0.25"/>
    <row r="1210" s="1" customFormat="1" x14ac:dyDescent="0.25"/>
    <row r="1211" s="1" customFormat="1" x14ac:dyDescent="0.25"/>
    <row r="1212" s="1" customFormat="1" x14ac:dyDescent="0.25"/>
    <row r="1213" s="1" customFormat="1" x14ac:dyDescent="0.25"/>
    <row r="1214" s="1" customFormat="1" x14ac:dyDescent="0.25"/>
    <row r="1215" s="1" customFormat="1" x14ac:dyDescent="0.25"/>
    <row r="1216" s="1" customFormat="1" x14ac:dyDescent="0.25"/>
    <row r="1217" s="1" customFormat="1" x14ac:dyDescent="0.25"/>
    <row r="1218" s="1" customFormat="1" x14ac:dyDescent="0.25"/>
    <row r="1219" s="1" customFormat="1" x14ac:dyDescent="0.25"/>
    <row r="1220" s="1" customFormat="1" x14ac:dyDescent="0.25"/>
    <row r="1221" s="1" customFormat="1" x14ac:dyDescent="0.25"/>
    <row r="1222" s="1" customFormat="1" x14ac:dyDescent="0.25"/>
    <row r="1223" s="1" customFormat="1" x14ac:dyDescent="0.25"/>
    <row r="1224" s="1" customFormat="1" x14ac:dyDescent="0.25"/>
    <row r="1225" s="1" customFormat="1" x14ac:dyDescent="0.25"/>
    <row r="1226" s="1" customFormat="1" x14ac:dyDescent="0.25"/>
    <row r="1227" s="1" customFormat="1" x14ac:dyDescent="0.25"/>
    <row r="1228" s="1" customFormat="1" x14ac:dyDescent="0.25"/>
    <row r="1229" s="1" customFormat="1" x14ac:dyDescent="0.25"/>
    <row r="1230" s="1" customFormat="1" x14ac:dyDescent="0.25"/>
    <row r="1231" s="1" customFormat="1" x14ac:dyDescent="0.25"/>
    <row r="1232" s="1" customFormat="1" x14ac:dyDescent="0.25"/>
    <row r="1233" s="1" customFormat="1" x14ac:dyDescent="0.25"/>
    <row r="1234" s="1" customFormat="1" x14ac:dyDescent="0.25"/>
    <row r="1235" s="1" customFormat="1" x14ac:dyDescent="0.25"/>
  </sheetData>
  <sheetProtection algorithmName="SHA-512" hashValue="tXNtniu8M39RfpRtHQtXUYSzYZ+XesqaO86414e6aArNpRzwo9+8QRAAam8WCo/D4DGE3cNLWIdaUJgGa+Q/zw==" saltValue="nyK3gQI3InHbnS2xzfPjYg==" spinCount="100000" sheet="1" objects="1" scenarios="1"/>
  <mergeCells count="2">
    <mergeCell ref="B2:H3"/>
    <mergeCell ref="F18:H18"/>
  </mergeCells>
  <pageMargins left="0.7" right="0.7" top="0.75" bottom="0.75" header="0.3" footer="0.3"/>
  <pageSetup paperSize="9" orientation="portrait" r:id="rId1"/>
  <ignoredErrors>
    <ignoredError sqref="D24" unlockedFormula="1"/>
  </ignoredErrors>
  <drawing r:id="rId2"/>
  <extLst>
    <ext xmlns:x14="http://schemas.microsoft.com/office/spreadsheetml/2009/9/main" uri="{78C0D931-6437-407d-A8EE-F0AAD7539E65}">
      <x14:conditionalFormattings>
        <x14:conditionalFormatting xmlns:xm="http://schemas.microsoft.com/office/excel/2006/main">
          <x14:cfRule type="iconSet" priority="1" id="{048262EB-D7B3-4611-ADFC-79202E2148AF}">
            <x14:iconSet showValue="0" custom="1">
              <x14:cfvo type="percent">
                <xm:f>0</xm:f>
              </x14:cfvo>
              <x14:cfvo type="num">
                <xm:f>0</xm:f>
              </x14:cfvo>
              <x14:cfvo type="num">
                <xm:f>1</xm:f>
              </x14:cfvo>
              <x14:cfIcon iconSet="3TrafficLights1" iconId="2"/>
              <x14:cfIcon iconSet="3TrafficLights1" iconId="0"/>
              <x14:cfIcon iconSet="3TrafficLights1" iconId="2"/>
            </x14:iconSet>
          </x14:cfRule>
          <xm:sqref>E40:E41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6786DF8-608D-4F34-8F65-9C140850B5B9}">
          <x14:formula1>
            <xm:f>Codes!$T$1:$T$2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F977-75BA-458E-AF3F-2E0F8A23E38A}">
  <sheetPr codeName="Sheet4">
    <tabColor theme="8"/>
  </sheetPr>
  <dimension ref="A1:CZ416"/>
  <sheetViews>
    <sheetView zoomScale="70" zoomScaleNormal="70" workbookViewId="0">
      <selection activeCell="I75" sqref="I75"/>
    </sheetView>
  </sheetViews>
  <sheetFormatPr defaultColWidth="9.140625" defaultRowHeight="15" x14ac:dyDescent="0.25"/>
  <cols>
    <col min="2" max="2" width="58" customWidth="1"/>
    <col min="3" max="3" width="21.5703125" customWidth="1"/>
    <col min="4" max="4" width="15.85546875" bestFit="1" customWidth="1"/>
    <col min="5" max="5" width="23.140625" bestFit="1" customWidth="1"/>
    <col min="6" max="6" width="25.140625" bestFit="1" customWidth="1"/>
    <col min="7" max="7" width="10.5703125" bestFit="1" customWidth="1"/>
    <col min="8" max="8" width="12.85546875" customWidth="1"/>
    <col min="9" max="9" width="20.28515625" bestFit="1" customWidth="1"/>
    <col min="10" max="10" width="20.42578125" bestFit="1" customWidth="1"/>
    <col min="11" max="11" width="16" customWidth="1"/>
    <col min="12" max="12" width="17.7109375" bestFit="1" customWidth="1"/>
    <col min="13" max="13" width="14.28515625" customWidth="1"/>
    <col min="14" max="14" width="22" bestFit="1" customWidth="1"/>
    <col min="15" max="15" width="19.7109375" customWidth="1"/>
    <col min="16" max="16" width="15.140625" customWidth="1"/>
    <col min="17" max="17" width="22.7109375" customWidth="1"/>
    <col min="18" max="18" width="14.28515625" bestFit="1" customWidth="1"/>
    <col min="19" max="19" width="22.28515625" bestFit="1" customWidth="1"/>
    <col min="20" max="104" width="9.140625" style="1"/>
  </cols>
  <sheetData>
    <row r="1" spans="1:104" x14ac:dyDescent="0.25">
      <c r="A1" s="1"/>
      <c r="B1" s="1"/>
      <c r="C1" s="1"/>
      <c r="D1" s="1"/>
      <c r="E1" s="1"/>
      <c r="F1" s="1"/>
      <c r="G1" s="1"/>
      <c r="H1" s="1"/>
      <c r="I1" s="1"/>
      <c r="J1" s="1"/>
      <c r="K1" s="1"/>
      <c r="L1" s="1"/>
      <c r="M1" s="1"/>
      <c r="N1" s="1"/>
      <c r="O1" s="1"/>
      <c r="P1" s="1"/>
      <c r="Q1" s="1"/>
      <c r="R1" s="1"/>
      <c r="S1" s="1"/>
    </row>
    <row r="2" spans="1:104" ht="14.25" customHeight="1" x14ac:dyDescent="0.25">
      <c r="A2" s="1"/>
      <c r="B2" s="621" t="s">
        <v>389</v>
      </c>
      <c r="C2" s="621"/>
      <c r="D2" s="621"/>
      <c r="E2" s="621"/>
      <c r="F2" s="621"/>
      <c r="G2" s="621"/>
      <c r="H2" s="621"/>
      <c r="I2" s="621"/>
      <c r="J2" s="621"/>
      <c r="K2" s="621"/>
      <c r="L2" s="621"/>
      <c r="M2" s="621"/>
      <c r="N2" s="621"/>
      <c r="O2" s="1"/>
      <c r="P2" s="1"/>
      <c r="Q2" s="1"/>
      <c r="R2" s="1"/>
      <c r="S2" s="1"/>
    </row>
    <row r="3" spans="1:104" ht="14.25" customHeight="1" x14ac:dyDescent="0.25">
      <c r="A3" s="1"/>
      <c r="B3" s="621"/>
      <c r="C3" s="621"/>
      <c r="D3" s="621"/>
      <c r="E3" s="621"/>
      <c r="F3" s="621"/>
      <c r="G3" s="621"/>
      <c r="H3" s="621"/>
      <c r="I3" s="621"/>
      <c r="J3" s="621"/>
      <c r="K3" s="621"/>
      <c r="L3" s="621"/>
      <c r="M3" s="621"/>
      <c r="N3" s="621"/>
      <c r="O3" s="1"/>
      <c r="P3" s="1"/>
      <c r="Q3" s="1"/>
      <c r="R3" s="1"/>
      <c r="S3" s="1"/>
    </row>
    <row r="4" spans="1:104" ht="14.25" customHeight="1" x14ac:dyDescent="0.25">
      <c r="A4" s="1"/>
      <c r="B4" s="621"/>
      <c r="C4" s="621"/>
      <c r="D4" s="621"/>
      <c r="E4" s="621"/>
      <c r="F4" s="621"/>
      <c r="G4" s="621"/>
      <c r="H4" s="621"/>
      <c r="I4" s="621"/>
      <c r="J4" s="621"/>
      <c r="K4" s="621"/>
      <c r="L4" s="621"/>
      <c r="M4" s="621"/>
      <c r="N4" s="621"/>
      <c r="O4" s="1"/>
      <c r="P4" s="1"/>
      <c r="Q4" s="1"/>
      <c r="R4" s="1"/>
      <c r="S4" s="1"/>
    </row>
    <row r="5" spans="1:104" x14ac:dyDescent="0.25">
      <c r="A5" s="1"/>
      <c r="B5" s="382"/>
      <c r="C5" s="382"/>
      <c r="D5" s="382"/>
      <c r="E5" s="382"/>
      <c r="F5" s="382"/>
      <c r="G5" s="382"/>
      <c r="H5" s="382"/>
      <c r="I5" s="382"/>
      <c r="J5" s="382"/>
      <c r="K5" s="1"/>
      <c r="L5" s="1"/>
      <c r="M5" s="1"/>
      <c r="N5" s="1"/>
      <c r="O5" s="1"/>
      <c r="P5" s="1"/>
      <c r="Q5" s="1"/>
      <c r="R5" s="1"/>
      <c r="S5" s="1"/>
    </row>
    <row r="6" spans="1:104" ht="24.75" customHeight="1" x14ac:dyDescent="0.25">
      <c r="A6" s="1"/>
      <c r="B6" s="383" t="s">
        <v>322</v>
      </c>
      <c r="C6" s="384"/>
      <c r="D6" s="384"/>
      <c r="E6" s="384"/>
      <c r="F6" s="384"/>
      <c r="G6" s="384"/>
      <c r="H6" s="384"/>
      <c r="I6" s="384"/>
      <c r="J6" s="384"/>
      <c r="K6" s="5"/>
      <c r="L6" s="5"/>
      <c r="M6" s="5"/>
      <c r="N6" s="6"/>
      <c r="O6" s="1"/>
      <c r="P6" s="1"/>
      <c r="Q6" s="1"/>
      <c r="R6" s="1"/>
      <c r="S6" s="1"/>
    </row>
    <row r="7" spans="1:104" s="217" customFormat="1" x14ac:dyDescent="0.25">
      <c r="A7" s="212"/>
      <c r="B7" s="385" t="s">
        <v>294</v>
      </c>
      <c r="C7" s="386"/>
      <c r="D7" s="386"/>
      <c r="E7" s="386"/>
      <c r="F7" s="386"/>
      <c r="G7" s="386"/>
      <c r="H7" s="386"/>
      <c r="I7" s="386"/>
      <c r="J7" s="386"/>
      <c r="K7" s="212"/>
      <c r="L7" s="212"/>
      <c r="M7" s="212"/>
      <c r="N7" s="387"/>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row>
    <row r="8" spans="1:104" s="217" customFormat="1" x14ac:dyDescent="0.25">
      <c r="A8" s="212"/>
      <c r="B8" s="385"/>
      <c r="C8" s="386"/>
      <c r="D8" s="386"/>
      <c r="E8" s="386"/>
      <c r="F8" s="386"/>
      <c r="G8" s="386"/>
      <c r="H8" s="386"/>
      <c r="I8" s="386"/>
      <c r="J8" s="386"/>
      <c r="K8" s="212"/>
      <c r="L8" s="212"/>
      <c r="M8" s="212"/>
      <c r="N8" s="387"/>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row>
    <row r="9" spans="1:104" s="217" customFormat="1" ht="17.25" customHeight="1" x14ac:dyDescent="0.25">
      <c r="A9" s="212"/>
      <c r="B9" s="388" t="s">
        <v>439</v>
      </c>
      <c r="C9" s="389"/>
      <c r="D9" s="389"/>
      <c r="E9" s="389"/>
      <c r="F9" s="389"/>
      <c r="G9" s="389"/>
      <c r="H9" s="389"/>
      <c r="I9" s="389"/>
      <c r="J9" s="389"/>
      <c r="K9" s="390"/>
      <c r="L9" s="390"/>
      <c r="M9" s="390"/>
      <c r="N9" s="391"/>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row>
    <row r="10" spans="1:104" ht="19.5" customHeight="1" x14ac:dyDescent="0.25">
      <c r="A10" s="1"/>
      <c r="B10" s="392"/>
      <c r="C10" s="382"/>
      <c r="D10" s="382"/>
      <c r="E10" s="382"/>
      <c r="F10" s="382"/>
      <c r="G10" s="382"/>
      <c r="H10" s="382"/>
      <c r="I10" s="382"/>
      <c r="J10" s="382"/>
      <c r="K10" s="1"/>
      <c r="L10" s="1"/>
      <c r="M10" s="1"/>
      <c r="N10" s="1"/>
      <c r="O10" s="1"/>
      <c r="P10" s="1"/>
      <c r="Q10" s="1"/>
      <c r="R10" s="1"/>
      <c r="S10" s="1"/>
    </row>
    <row r="11" spans="1:104" ht="15.75" customHeight="1" x14ac:dyDescent="0.25">
      <c r="A11" s="1"/>
      <c r="B11" s="339" t="s">
        <v>240</v>
      </c>
      <c r="C11" s="382"/>
      <c r="D11" s="382"/>
      <c r="E11" s="382"/>
      <c r="F11" s="382"/>
      <c r="G11" s="382"/>
      <c r="H11" s="382"/>
      <c r="I11" s="382"/>
      <c r="J11" s="382"/>
      <c r="K11" s="1"/>
      <c r="L11" s="1"/>
      <c r="M11" s="1"/>
      <c r="N11" s="1"/>
      <c r="O11" s="1"/>
      <c r="P11" s="1"/>
      <c r="Q11" s="1"/>
      <c r="R11" s="1"/>
      <c r="S11" s="1"/>
    </row>
    <row r="12" spans="1:104" ht="13.5" customHeight="1" x14ac:dyDescent="0.25">
      <c r="A12" s="1"/>
      <c r="B12" s="382"/>
      <c r="C12" s="382"/>
      <c r="D12" s="382"/>
      <c r="E12" s="382"/>
      <c r="F12" s="382"/>
      <c r="G12" s="382"/>
      <c r="H12" s="382"/>
      <c r="I12" s="382"/>
      <c r="J12" s="382"/>
      <c r="K12" s="1"/>
      <c r="L12" s="1"/>
      <c r="M12" s="1"/>
      <c r="N12" s="1"/>
      <c r="O12" s="1"/>
      <c r="P12" s="1"/>
      <c r="Q12" s="1"/>
      <c r="R12" s="1"/>
      <c r="S12" s="1"/>
    </row>
    <row r="13" spans="1:104" x14ac:dyDescent="0.25">
      <c r="A13" s="1"/>
      <c r="B13" s="393" t="s">
        <v>356</v>
      </c>
      <c r="C13" s="1"/>
      <c r="D13" s="1"/>
      <c r="E13" s="1"/>
      <c r="F13" s="1"/>
      <c r="G13" s="1"/>
      <c r="H13" s="1"/>
      <c r="I13" s="1"/>
      <c r="J13" s="1"/>
      <c r="K13" s="1"/>
      <c r="L13" s="1"/>
      <c r="M13" s="1"/>
      <c r="N13" s="1"/>
      <c r="O13" s="1"/>
      <c r="P13" s="1"/>
      <c r="Q13" s="1"/>
      <c r="R13" s="1"/>
      <c r="S13" s="1"/>
    </row>
    <row r="14" spans="1:104" x14ac:dyDescent="0.25">
      <c r="A14" s="1"/>
      <c r="B14" s="1"/>
      <c r="C14" s="1"/>
      <c r="D14" s="1"/>
      <c r="E14" s="1"/>
      <c r="F14" s="1"/>
      <c r="G14" s="1"/>
      <c r="H14" s="1"/>
      <c r="I14" s="1"/>
      <c r="J14" s="1"/>
      <c r="K14" s="1"/>
      <c r="L14" s="1"/>
      <c r="M14" s="1"/>
      <c r="N14" s="1"/>
      <c r="O14" s="1"/>
      <c r="P14" s="1"/>
      <c r="Q14" s="1"/>
      <c r="R14" s="1"/>
      <c r="S14" s="1"/>
    </row>
    <row r="15" spans="1:104" s="1" customFormat="1" ht="30" x14ac:dyDescent="0.25">
      <c r="B15" s="394" t="s">
        <v>297</v>
      </c>
      <c r="C15" s="394" t="s">
        <v>298</v>
      </c>
      <c r="D15" s="187"/>
    </row>
    <row r="16" spans="1:104" s="1" customFormat="1" x14ac:dyDescent="0.25">
      <c r="B16" s="50" t="s">
        <v>9</v>
      </c>
      <c r="C16" s="267" t="s">
        <v>10</v>
      </c>
    </row>
    <row r="17" spans="2:3" s="1" customFormat="1" x14ac:dyDescent="0.25">
      <c r="B17" s="52" t="s">
        <v>11</v>
      </c>
      <c r="C17" s="47" t="s">
        <v>15</v>
      </c>
    </row>
    <row r="18" spans="2:3" s="1" customFormat="1" x14ac:dyDescent="0.25">
      <c r="B18" s="52" t="s">
        <v>12</v>
      </c>
      <c r="C18" s="47" t="s">
        <v>20</v>
      </c>
    </row>
    <row r="19" spans="2:3" s="1" customFormat="1" x14ac:dyDescent="0.25">
      <c r="B19" s="52" t="s">
        <v>13</v>
      </c>
      <c r="C19" s="47" t="s">
        <v>20</v>
      </c>
    </row>
    <row r="20" spans="2:3" s="1" customFormat="1" x14ac:dyDescent="0.25">
      <c r="B20" s="52" t="s">
        <v>14</v>
      </c>
      <c r="C20" s="47" t="s">
        <v>26</v>
      </c>
    </row>
    <row r="21" spans="2:3" s="1" customFormat="1" x14ac:dyDescent="0.25">
      <c r="B21" s="52" t="s">
        <v>16</v>
      </c>
      <c r="C21" s="47" t="s">
        <v>10</v>
      </c>
    </row>
    <row r="22" spans="2:3" s="1" customFormat="1" x14ac:dyDescent="0.25">
      <c r="B22" s="52" t="s">
        <v>17</v>
      </c>
      <c r="C22" s="47" t="s">
        <v>10</v>
      </c>
    </row>
    <row r="23" spans="2:3" s="1" customFormat="1" x14ac:dyDescent="0.25">
      <c r="B23" s="52" t="s">
        <v>18</v>
      </c>
      <c r="C23" s="52" t="s">
        <v>15</v>
      </c>
    </row>
    <row r="24" spans="2:3" s="1" customFormat="1" x14ac:dyDescent="0.25">
      <c r="B24" s="52" t="s">
        <v>19</v>
      </c>
      <c r="C24" s="52" t="s">
        <v>15</v>
      </c>
    </row>
    <row r="25" spans="2:3" s="1" customFormat="1" x14ac:dyDescent="0.25">
      <c r="B25" s="52" t="s">
        <v>21</v>
      </c>
      <c r="C25" s="47" t="s">
        <v>15</v>
      </c>
    </row>
    <row r="26" spans="2:3" s="1" customFormat="1" x14ac:dyDescent="0.25">
      <c r="B26" s="52" t="s">
        <v>22</v>
      </c>
      <c r="C26" s="47" t="s">
        <v>15</v>
      </c>
    </row>
    <row r="27" spans="2:3" s="1" customFormat="1" x14ac:dyDescent="0.25">
      <c r="B27" s="52" t="s">
        <v>23</v>
      </c>
      <c r="C27" s="47" t="s">
        <v>20</v>
      </c>
    </row>
    <row r="28" spans="2:3" s="1" customFormat="1" x14ac:dyDescent="0.25">
      <c r="B28" s="52" t="s">
        <v>24</v>
      </c>
      <c r="C28" s="47" t="s">
        <v>20</v>
      </c>
    </row>
    <row r="29" spans="2:3" s="1" customFormat="1" x14ac:dyDescent="0.25">
      <c r="B29" s="52" t="s">
        <v>25</v>
      </c>
      <c r="C29" s="47" t="s">
        <v>26</v>
      </c>
    </row>
    <row r="30" spans="2:3" s="1" customFormat="1" x14ac:dyDescent="0.25">
      <c r="B30" s="52" t="s">
        <v>27</v>
      </c>
      <c r="C30" s="47" t="s">
        <v>26</v>
      </c>
    </row>
    <row r="31" spans="2:3" s="1" customFormat="1" x14ac:dyDescent="0.25">
      <c r="B31" s="52" t="s">
        <v>28</v>
      </c>
      <c r="C31" s="47" t="s">
        <v>26</v>
      </c>
    </row>
    <row r="32" spans="2:3" s="1" customFormat="1" x14ac:dyDescent="0.25">
      <c r="B32" s="52" t="s">
        <v>29</v>
      </c>
      <c r="C32" s="47" t="s">
        <v>26</v>
      </c>
    </row>
    <row r="33" spans="2:16" s="1" customFormat="1" x14ac:dyDescent="0.25">
      <c r="B33" s="52" t="s">
        <v>30</v>
      </c>
      <c r="C33" s="47" t="s">
        <v>26</v>
      </c>
    </row>
    <row r="34" spans="2:16" s="1" customFormat="1" x14ac:dyDescent="0.25">
      <c r="B34" s="52"/>
      <c r="C34" s="47"/>
    </row>
    <row r="35" spans="2:16" s="1" customFormat="1" x14ac:dyDescent="0.25">
      <c r="B35" s="54"/>
      <c r="C35" s="328"/>
    </row>
    <row r="36" spans="2:16" s="1" customFormat="1" x14ac:dyDescent="0.25">
      <c r="B36" s="187"/>
      <c r="C36" s="187"/>
    </row>
    <row r="37" spans="2:16" s="1" customFormat="1" x14ac:dyDescent="0.25">
      <c r="B37" s="393" t="s">
        <v>433</v>
      </c>
      <c r="D37" s="187"/>
      <c r="E37" s="187"/>
    </row>
    <row r="38" spans="2:16" s="1" customFormat="1" x14ac:dyDescent="0.25">
      <c r="B38" s="187"/>
      <c r="D38" s="187"/>
      <c r="E38" s="187"/>
    </row>
    <row r="39" spans="2:16" s="1" customFormat="1" x14ac:dyDescent="0.25">
      <c r="B39" s="632" t="s">
        <v>31</v>
      </c>
      <c r="C39" s="634"/>
      <c r="D39" s="632" t="s">
        <v>32</v>
      </c>
      <c r="E39" s="634"/>
      <c r="F39" s="632" t="s">
        <v>33</v>
      </c>
      <c r="G39" s="633"/>
      <c r="H39" s="634"/>
      <c r="I39" s="632" t="s">
        <v>431</v>
      </c>
      <c r="J39" s="633"/>
      <c r="K39" s="634"/>
      <c r="L39" s="632" t="s">
        <v>317</v>
      </c>
      <c r="M39" s="633"/>
      <c r="N39" s="634"/>
    </row>
    <row r="40" spans="2:16" s="1" customFormat="1" ht="30" x14ac:dyDescent="0.25">
      <c r="B40" s="395" t="s">
        <v>8</v>
      </c>
      <c r="C40" s="396" t="s">
        <v>34</v>
      </c>
      <c r="D40" s="395" t="s">
        <v>35</v>
      </c>
      <c r="E40" s="396" t="s">
        <v>36</v>
      </c>
      <c r="F40" s="397" t="s">
        <v>37</v>
      </c>
      <c r="G40" s="398" t="s">
        <v>38</v>
      </c>
      <c r="H40" s="399" t="s">
        <v>39</v>
      </c>
      <c r="I40" s="400" t="s">
        <v>392</v>
      </c>
      <c r="J40" s="401" t="s">
        <v>432</v>
      </c>
      <c r="K40" s="402" t="s">
        <v>321</v>
      </c>
      <c r="L40" s="395" t="s">
        <v>318</v>
      </c>
      <c r="M40" s="403" t="s">
        <v>320</v>
      </c>
      <c r="N40" s="396" t="s">
        <v>319</v>
      </c>
      <c r="O40" s="404"/>
      <c r="P40" s="404"/>
    </row>
    <row r="41" spans="2:16" s="1" customFormat="1" x14ac:dyDescent="0.25">
      <c r="B41" s="405" t="s">
        <v>10</v>
      </c>
      <c r="C41" s="406">
        <f t="shared" ref="C41:C46" si="0">COUNTIF($C$16:$C$35,B41)</f>
        <v>3</v>
      </c>
      <c r="D41" s="268">
        <v>40</v>
      </c>
      <c r="E41" s="267">
        <v>250</v>
      </c>
      <c r="F41" s="181">
        <v>240000</v>
      </c>
      <c r="G41" s="182">
        <v>200000</v>
      </c>
      <c r="H41" s="20">
        <f>F41+G41</f>
        <v>440000</v>
      </c>
      <c r="I41" s="181">
        <v>240000</v>
      </c>
      <c r="J41" s="182">
        <v>200000</v>
      </c>
      <c r="K41" s="21">
        <f t="shared" ref="K41:K46" si="1">I41+J41</f>
        <v>440000</v>
      </c>
      <c r="L41" s="326">
        <v>1.4999999999999999E-2</v>
      </c>
      <c r="M41" s="407">
        <f t="shared" ref="M41:M46" si="2">$L$41*G41</f>
        <v>3000</v>
      </c>
      <c r="N41" s="408">
        <f t="shared" ref="N41:N46" si="3">M41*C41</f>
        <v>9000</v>
      </c>
    </row>
    <row r="42" spans="2:16" s="1" customFormat="1" x14ac:dyDescent="0.25">
      <c r="B42" s="409" t="s">
        <v>15</v>
      </c>
      <c r="C42" s="9">
        <f t="shared" si="0"/>
        <v>5</v>
      </c>
      <c r="D42" s="304">
        <v>65</v>
      </c>
      <c r="E42" s="47">
        <v>250</v>
      </c>
      <c r="F42" s="181">
        <v>325000</v>
      </c>
      <c r="G42" s="182">
        <v>200000</v>
      </c>
      <c r="H42" s="20">
        <f t="shared" ref="H42:H46" si="4">F42+G42</f>
        <v>525000</v>
      </c>
      <c r="I42" s="181">
        <v>325000</v>
      </c>
      <c r="J42" s="182">
        <v>220000</v>
      </c>
      <c r="K42" s="21">
        <f t="shared" si="1"/>
        <v>545000</v>
      </c>
      <c r="L42" s="410"/>
      <c r="M42" s="20">
        <f t="shared" si="2"/>
        <v>3000</v>
      </c>
      <c r="N42" s="21">
        <f t="shared" si="3"/>
        <v>15000</v>
      </c>
    </row>
    <row r="43" spans="2:16" s="1" customFormat="1" x14ac:dyDescent="0.25">
      <c r="B43" s="409" t="s">
        <v>20</v>
      </c>
      <c r="C43" s="9">
        <f t="shared" si="0"/>
        <v>4</v>
      </c>
      <c r="D43" s="304">
        <v>90</v>
      </c>
      <c r="E43" s="47">
        <v>250</v>
      </c>
      <c r="F43" s="181">
        <v>360000</v>
      </c>
      <c r="G43" s="182">
        <v>200000</v>
      </c>
      <c r="H43" s="20">
        <f t="shared" si="4"/>
        <v>560000</v>
      </c>
      <c r="I43" s="181">
        <v>360000</v>
      </c>
      <c r="J43" s="182">
        <v>240000</v>
      </c>
      <c r="K43" s="21">
        <f t="shared" si="1"/>
        <v>600000</v>
      </c>
      <c r="L43" s="410"/>
      <c r="M43" s="20">
        <f t="shared" si="2"/>
        <v>3000</v>
      </c>
      <c r="N43" s="21">
        <f t="shared" si="3"/>
        <v>12000</v>
      </c>
    </row>
    <row r="44" spans="2:16" s="1" customFormat="1" x14ac:dyDescent="0.25">
      <c r="B44" s="409" t="s">
        <v>26</v>
      </c>
      <c r="C44" s="9">
        <f t="shared" si="0"/>
        <v>6</v>
      </c>
      <c r="D44" s="304">
        <v>120</v>
      </c>
      <c r="E44" s="47">
        <v>250</v>
      </c>
      <c r="F44" s="181">
        <v>420000</v>
      </c>
      <c r="G44" s="182">
        <v>200000</v>
      </c>
      <c r="H44" s="20">
        <f t="shared" si="4"/>
        <v>620000</v>
      </c>
      <c r="I44" s="181">
        <v>420000</v>
      </c>
      <c r="J44" s="182">
        <v>280000</v>
      </c>
      <c r="K44" s="21">
        <f t="shared" si="1"/>
        <v>700000</v>
      </c>
      <c r="L44" s="410"/>
      <c r="M44" s="20">
        <f t="shared" si="2"/>
        <v>3000</v>
      </c>
      <c r="N44" s="21">
        <f t="shared" si="3"/>
        <v>18000</v>
      </c>
    </row>
    <row r="45" spans="2:16" s="1" customFormat="1" x14ac:dyDescent="0.25">
      <c r="B45" s="409" t="s">
        <v>40</v>
      </c>
      <c r="C45" s="9">
        <f t="shared" si="0"/>
        <v>0</v>
      </c>
      <c r="D45" s="304">
        <v>0</v>
      </c>
      <c r="E45" s="47">
        <v>0</v>
      </c>
      <c r="F45" s="181">
        <v>0</v>
      </c>
      <c r="G45" s="182">
        <v>0</v>
      </c>
      <c r="H45" s="20">
        <f t="shared" si="4"/>
        <v>0</v>
      </c>
      <c r="I45" s="181">
        <v>0</v>
      </c>
      <c r="J45" s="182">
        <v>0</v>
      </c>
      <c r="K45" s="21">
        <f t="shared" si="1"/>
        <v>0</v>
      </c>
      <c r="L45" s="410"/>
      <c r="M45" s="20">
        <f t="shared" si="2"/>
        <v>0</v>
      </c>
      <c r="N45" s="21">
        <f t="shared" si="3"/>
        <v>0</v>
      </c>
    </row>
    <row r="46" spans="2:16" s="1" customFormat="1" x14ac:dyDescent="0.25">
      <c r="B46" s="411" t="s">
        <v>41</v>
      </c>
      <c r="C46" s="412">
        <f t="shared" si="0"/>
        <v>0</v>
      </c>
      <c r="D46" s="327">
        <v>0</v>
      </c>
      <c r="E46" s="328">
        <v>0</v>
      </c>
      <c r="F46" s="269">
        <v>0</v>
      </c>
      <c r="G46" s="183">
        <v>0</v>
      </c>
      <c r="H46" s="360">
        <f t="shared" si="4"/>
        <v>0</v>
      </c>
      <c r="I46" s="269">
        <v>0</v>
      </c>
      <c r="J46" s="183">
        <v>0</v>
      </c>
      <c r="K46" s="413">
        <f t="shared" si="1"/>
        <v>0</v>
      </c>
      <c r="L46" s="410"/>
      <c r="M46" s="20">
        <f t="shared" si="2"/>
        <v>0</v>
      </c>
      <c r="N46" s="21">
        <f t="shared" si="3"/>
        <v>0</v>
      </c>
    </row>
    <row r="47" spans="2:16" s="1" customFormat="1" x14ac:dyDescent="0.25">
      <c r="B47" s="411" t="s">
        <v>42</v>
      </c>
      <c r="C47" s="412">
        <f>SUM(C41:C46)</f>
        <v>18</v>
      </c>
      <c r="D47" s="414">
        <f>(C41*D41)+(C42*D42)+(C43*D43)+(C44*D44)+(C45*D45)+(C46*D46)</f>
        <v>1525</v>
      </c>
      <c r="E47" s="412">
        <f>(C41*E41)+(C42*E42)+(C43*E43)+(C44*E44)+(C45*E45)+(C46*E46)</f>
        <v>4500</v>
      </c>
      <c r="F47" s="415"/>
      <c r="G47" s="416"/>
      <c r="H47" s="416"/>
      <c r="I47" s="415"/>
      <c r="J47" s="416"/>
      <c r="K47" s="417"/>
      <c r="L47" s="415"/>
      <c r="M47" s="416"/>
      <c r="N47" s="417"/>
    </row>
    <row r="48" spans="2:16" s="1" customFormat="1" x14ac:dyDescent="0.25">
      <c r="B48" s="187"/>
      <c r="K48" s="418"/>
      <c r="L48" s="44"/>
      <c r="M48" s="418"/>
    </row>
    <row r="49" spans="2:13" s="1" customFormat="1" x14ac:dyDescent="0.25">
      <c r="B49" s="393" t="s">
        <v>444</v>
      </c>
      <c r="C49" s="187"/>
      <c r="D49" s="187"/>
      <c r="E49" s="187"/>
      <c r="F49" s="20"/>
      <c r="G49" s="419"/>
      <c r="H49" s="419"/>
      <c r="I49" s="419"/>
      <c r="J49" s="418"/>
      <c r="K49" s="44"/>
      <c r="L49" s="44"/>
      <c r="M49" s="44"/>
    </row>
    <row r="50" spans="2:13" s="1" customFormat="1" x14ac:dyDescent="0.25">
      <c r="B50" s="187"/>
      <c r="C50" s="187"/>
      <c r="D50" s="187"/>
      <c r="E50" s="187"/>
      <c r="F50" s="20"/>
      <c r="G50" s="420"/>
      <c r="H50" s="420"/>
      <c r="I50" s="420"/>
      <c r="J50" s="20"/>
    </row>
    <row r="51" spans="2:13" s="1" customFormat="1" x14ac:dyDescent="0.25">
      <c r="B51" s="589" t="s">
        <v>43</v>
      </c>
      <c r="C51" s="590"/>
      <c r="D51" s="590"/>
      <c r="E51" s="590"/>
      <c r="F51" s="591"/>
      <c r="G51" s="420"/>
      <c r="H51" s="420"/>
      <c r="I51" s="420"/>
      <c r="J51" s="20"/>
    </row>
    <row r="52" spans="2:13" s="1" customFormat="1" x14ac:dyDescent="0.25">
      <c r="B52" s="397" t="str">
        <f>B40</f>
        <v xml:space="preserve">Typology </v>
      </c>
      <c r="C52" s="398" t="str">
        <f>C40</f>
        <v xml:space="preserve">Number </v>
      </c>
      <c r="D52" s="398" t="s">
        <v>7</v>
      </c>
      <c r="E52" s="398" t="s">
        <v>44</v>
      </c>
      <c r="F52" s="399" t="s">
        <v>45</v>
      </c>
      <c r="G52" s="20"/>
      <c r="H52" s="20"/>
      <c r="I52" s="20"/>
      <c r="J52" s="20"/>
    </row>
    <row r="53" spans="2:13" s="1" customFormat="1" x14ac:dyDescent="0.25">
      <c r="B53" s="409" t="str">
        <f t="shared" ref="B53:B58" si="5">B41</f>
        <v>1 Bed</v>
      </c>
      <c r="C53" s="187">
        <f>$C$41</f>
        <v>3</v>
      </c>
      <c r="D53" s="182">
        <v>3000</v>
      </c>
      <c r="E53" s="20">
        <f t="shared" ref="E53:E58" si="6">D53*D41</f>
        <v>120000</v>
      </c>
      <c r="F53" s="21">
        <f t="shared" ref="F53:F58" si="7">E53*C53</f>
        <v>360000</v>
      </c>
      <c r="G53" s="20"/>
      <c r="H53" s="20"/>
      <c r="I53" s="20"/>
      <c r="J53" s="20"/>
      <c r="K53" s="20"/>
      <c r="L53" s="20"/>
      <c r="M53" s="20"/>
    </row>
    <row r="54" spans="2:13" s="1" customFormat="1" x14ac:dyDescent="0.25">
      <c r="B54" s="409" t="str">
        <f t="shared" si="5"/>
        <v>2 Bed</v>
      </c>
      <c r="C54" s="187">
        <f>$C$42</f>
        <v>5</v>
      </c>
      <c r="D54" s="182">
        <v>3000</v>
      </c>
      <c r="E54" s="20">
        <f t="shared" si="6"/>
        <v>195000</v>
      </c>
      <c r="F54" s="21">
        <f t="shared" si="7"/>
        <v>975000</v>
      </c>
      <c r="G54" s="20"/>
      <c r="H54" s="20"/>
      <c r="I54" s="20"/>
      <c r="J54" s="20"/>
      <c r="K54" s="20"/>
      <c r="L54" s="20"/>
      <c r="M54" s="20"/>
    </row>
    <row r="55" spans="2:13" s="1" customFormat="1" x14ac:dyDescent="0.25">
      <c r="B55" s="409" t="str">
        <f t="shared" si="5"/>
        <v>3 Bed</v>
      </c>
      <c r="C55" s="187">
        <f>$C$43</f>
        <v>4</v>
      </c>
      <c r="D55" s="182">
        <v>3000</v>
      </c>
      <c r="E55" s="20">
        <f t="shared" si="6"/>
        <v>270000</v>
      </c>
      <c r="F55" s="21">
        <f t="shared" si="7"/>
        <v>1080000</v>
      </c>
      <c r="G55" s="20"/>
      <c r="H55" s="20"/>
      <c r="I55" s="20"/>
      <c r="J55" s="20"/>
      <c r="K55" s="20"/>
      <c r="L55" s="20"/>
      <c r="M55" s="20"/>
    </row>
    <row r="56" spans="2:13" s="1" customFormat="1" x14ac:dyDescent="0.25">
      <c r="B56" s="409" t="str">
        <f t="shared" si="5"/>
        <v>4 Bed</v>
      </c>
      <c r="C56" s="187">
        <f>$C$44</f>
        <v>6</v>
      </c>
      <c r="D56" s="182">
        <v>3000</v>
      </c>
      <c r="E56" s="20">
        <f t="shared" si="6"/>
        <v>360000</v>
      </c>
      <c r="F56" s="21">
        <f t="shared" si="7"/>
        <v>2160000</v>
      </c>
      <c r="G56" s="20"/>
      <c r="H56" s="20"/>
      <c r="I56" s="20"/>
      <c r="J56" s="20"/>
      <c r="K56" s="20"/>
      <c r="L56" s="20"/>
      <c r="M56" s="20"/>
    </row>
    <row r="57" spans="2:13" s="1" customFormat="1" x14ac:dyDescent="0.25">
      <c r="B57" s="409" t="str">
        <f t="shared" si="5"/>
        <v>5 Bed</v>
      </c>
      <c r="C57" s="187">
        <f>$C$45</f>
        <v>0</v>
      </c>
      <c r="D57" s="182">
        <v>3000</v>
      </c>
      <c r="E57" s="20">
        <f t="shared" si="6"/>
        <v>0</v>
      </c>
      <c r="F57" s="21">
        <f t="shared" si="7"/>
        <v>0</v>
      </c>
      <c r="G57" s="20"/>
      <c r="H57" s="20"/>
      <c r="I57" s="20"/>
      <c r="J57" s="20"/>
      <c r="K57" s="20"/>
      <c r="L57" s="20"/>
      <c r="M57" s="20"/>
    </row>
    <row r="58" spans="2:13" s="1" customFormat="1" x14ac:dyDescent="0.25">
      <c r="B58" s="409" t="str">
        <f t="shared" si="5"/>
        <v>6 Bed</v>
      </c>
      <c r="C58" s="187">
        <f>$C$46</f>
        <v>0</v>
      </c>
      <c r="D58" s="182">
        <v>3000</v>
      </c>
      <c r="E58" s="20">
        <f t="shared" si="6"/>
        <v>0</v>
      </c>
      <c r="F58" s="21">
        <f t="shared" si="7"/>
        <v>0</v>
      </c>
      <c r="G58" s="20"/>
      <c r="H58" s="20"/>
      <c r="I58" s="20"/>
      <c r="J58" s="20"/>
      <c r="K58" s="20"/>
      <c r="L58" s="20"/>
      <c r="M58" s="20"/>
    </row>
    <row r="59" spans="2:13" s="1" customFormat="1" x14ac:dyDescent="0.25">
      <c r="B59" s="421" t="s">
        <v>299</v>
      </c>
      <c r="C59" s="422"/>
      <c r="D59" s="423"/>
      <c r="E59" s="270">
        <v>0.15</v>
      </c>
      <c r="F59" s="271">
        <f>SUM(F53:F58)*E59</f>
        <v>686250</v>
      </c>
      <c r="G59" s="20"/>
      <c r="H59" s="20"/>
      <c r="I59" s="20"/>
      <c r="J59" s="20"/>
      <c r="K59" s="20"/>
      <c r="L59" s="20"/>
      <c r="M59" s="20"/>
    </row>
    <row r="60" spans="2:13" s="1" customFormat="1" x14ac:dyDescent="0.25">
      <c r="B60" s="411"/>
      <c r="C60" s="414"/>
      <c r="D60" s="360"/>
      <c r="E60" s="360"/>
      <c r="F60" s="361">
        <f>SUM($F$53:$F$59)</f>
        <v>5261250</v>
      </c>
      <c r="G60" s="20"/>
      <c r="H60" s="20"/>
      <c r="I60" s="20"/>
      <c r="J60" s="20"/>
      <c r="K60" s="20"/>
      <c r="L60" s="20"/>
      <c r="M60" s="20"/>
    </row>
    <row r="61" spans="2:13" s="1" customFormat="1" x14ac:dyDescent="0.25">
      <c r="B61" s="187"/>
      <c r="C61" s="187"/>
      <c r="D61" s="20"/>
      <c r="E61" s="20"/>
      <c r="F61" s="148"/>
      <c r="G61" s="20"/>
      <c r="H61" s="20"/>
      <c r="I61" s="20"/>
      <c r="J61" s="20"/>
      <c r="K61" s="20"/>
      <c r="L61" s="20"/>
      <c r="M61" s="20"/>
    </row>
    <row r="62" spans="2:13" s="1" customFormat="1" x14ac:dyDescent="0.25">
      <c r="B62" s="393" t="s">
        <v>445</v>
      </c>
      <c r="C62" s="187"/>
      <c r="D62" s="187"/>
      <c r="E62" s="187"/>
      <c r="F62" s="20"/>
      <c r="G62" s="20"/>
      <c r="H62" s="20"/>
      <c r="I62" s="20"/>
      <c r="J62" s="20"/>
      <c r="K62" s="20"/>
      <c r="L62" s="20"/>
      <c r="M62" s="20"/>
    </row>
    <row r="63" spans="2:13" s="1" customFormat="1" x14ac:dyDescent="0.25">
      <c r="B63" s="187"/>
      <c r="C63" s="187"/>
      <c r="D63" s="187"/>
      <c r="E63" s="187"/>
      <c r="F63" s="20"/>
      <c r="G63" s="20"/>
      <c r="H63" s="20"/>
      <c r="I63" s="20"/>
      <c r="J63" s="20"/>
      <c r="K63" s="20"/>
      <c r="L63" s="20"/>
      <c r="M63" s="20"/>
    </row>
    <row r="64" spans="2:13" s="1" customFormat="1" x14ac:dyDescent="0.25">
      <c r="B64" s="424"/>
      <c r="C64" s="425" t="s">
        <v>46</v>
      </c>
      <c r="D64" s="425" t="s">
        <v>47</v>
      </c>
      <c r="E64" s="425" t="s">
        <v>48</v>
      </c>
      <c r="F64" s="426" t="s">
        <v>49</v>
      </c>
      <c r="G64" s="427"/>
      <c r="L64" s="428"/>
      <c r="M64" s="428"/>
    </row>
    <row r="65" spans="2:13" s="1" customFormat="1" x14ac:dyDescent="0.25">
      <c r="B65" s="429" t="s">
        <v>50</v>
      </c>
      <c r="C65" s="427"/>
      <c r="D65" s="427"/>
      <c r="E65" s="427"/>
      <c r="F65" s="430"/>
      <c r="G65" s="427"/>
      <c r="L65" s="428"/>
      <c r="M65" s="428"/>
    </row>
    <row r="66" spans="2:13" s="1" customFormat="1" ht="19.5" x14ac:dyDescent="0.55000000000000004">
      <c r="B66" s="431" t="s">
        <v>51</v>
      </c>
      <c r="C66" s="432"/>
      <c r="D66" s="433"/>
      <c r="E66" s="433"/>
      <c r="F66" s="22"/>
      <c r="L66" s="434"/>
      <c r="M66" s="23"/>
    </row>
    <row r="67" spans="2:13" s="1" customFormat="1" x14ac:dyDescent="0.25">
      <c r="B67" s="435" t="s">
        <v>52</v>
      </c>
      <c r="C67" s="24"/>
      <c r="D67" s="25">
        <v>2000000</v>
      </c>
      <c r="E67" s="24">
        <v>1</v>
      </c>
      <c r="F67" s="26">
        <f>$D$67*$E$67</f>
        <v>2000000</v>
      </c>
      <c r="G67" s="27"/>
      <c r="L67" s="436"/>
      <c r="M67" s="28"/>
    </row>
    <row r="68" spans="2:13" s="1" customFormat="1" x14ac:dyDescent="0.25">
      <c r="B68" s="435" t="s">
        <v>53</v>
      </c>
      <c r="C68" s="24"/>
      <c r="D68" s="25">
        <v>10000</v>
      </c>
      <c r="E68" s="24">
        <v>1</v>
      </c>
      <c r="F68" s="26">
        <f>$D$68*$E$68</f>
        <v>10000</v>
      </c>
      <c r="G68" s="27"/>
      <c r="L68" s="436"/>
      <c r="M68" s="28"/>
    </row>
    <row r="69" spans="2:13" s="1" customFormat="1" ht="16.5" x14ac:dyDescent="0.35">
      <c r="B69" s="437" t="s">
        <v>300</v>
      </c>
      <c r="D69" s="20"/>
      <c r="E69" s="187"/>
      <c r="F69" s="29">
        <f>F67+$F$68</f>
        <v>2010000</v>
      </c>
      <c r="G69" s="30"/>
      <c r="L69" s="436"/>
      <c r="M69" s="438"/>
    </row>
    <row r="70" spans="2:13" s="1" customFormat="1" ht="17.25" x14ac:dyDescent="0.4">
      <c r="B70" s="439" t="s">
        <v>54</v>
      </c>
      <c r="C70" s="440"/>
      <c r="D70" s="441"/>
      <c r="E70" s="442"/>
      <c r="F70" s="443"/>
      <c r="G70" s="31"/>
      <c r="L70" s="436"/>
      <c r="M70" s="438"/>
    </row>
    <row r="71" spans="2:13" s="1" customFormat="1" x14ac:dyDescent="0.25">
      <c r="B71" s="444" t="s">
        <v>55</v>
      </c>
      <c r="C71" s="272"/>
      <c r="D71" s="25">
        <v>50000</v>
      </c>
      <c r="E71" s="272">
        <v>1</v>
      </c>
      <c r="F71" s="26">
        <f>$D71*$E71</f>
        <v>50000</v>
      </c>
      <c r="G71" s="31"/>
      <c r="M71" s="28"/>
    </row>
    <row r="72" spans="2:13" s="1" customFormat="1" x14ac:dyDescent="0.25">
      <c r="B72" s="444" t="s">
        <v>56</v>
      </c>
      <c r="C72" s="272"/>
      <c r="D72" s="25">
        <v>10000</v>
      </c>
      <c r="E72" s="272">
        <v>1</v>
      </c>
      <c r="F72" s="26">
        <f t="shared" ref="F72:F82" si="8">$D72*$E72</f>
        <v>10000</v>
      </c>
      <c r="G72" s="31"/>
      <c r="I72" s="445"/>
      <c r="J72" s="446"/>
      <c r="K72" s="436"/>
      <c r="M72" s="28"/>
    </row>
    <row r="73" spans="2:13" s="1" customFormat="1" x14ac:dyDescent="0.25">
      <c r="B73" s="444" t="s">
        <v>57</v>
      </c>
      <c r="C73" s="272"/>
      <c r="D73" s="25">
        <v>50000</v>
      </c>
      <c r="E73" s="272">
        <v>1</v>
      </c>
      <c r="F73" s="26">
        <f t="shared" si="8"/>
        <v>50000</v>
      </c>
      <c r="G73" s="31"/>
      <c r="I73" s="445"/>
      <c r="J73" s="446"/>
      <c r="K73" s="436"/>
      <c r="M73" s="28"/>
    </row>
    <row r="74" spans="2:13" s="1" customFormat="1" x14ac:dyDescent="0.25">
      <c r="B74" s="444" t="s">
        <v>58</v>
      </c>
      <c r="C74" s="272"/>
      <c r="D74" s="25">
        <v>10000</v>
      </c>
      <c r="E74" s="272">
        <v>1</v>
      </c>
      <c r="F74" s="26">
        <f t="shared" si="8"/>
        <v>10000</v>
      </c>
      <c r="G74" s="31"/>
      <c r="I74" s="445"/>
      <c r="J74" s="446"/>
      <c r="K74" s="436"/>
      <c r="M74" s="28"/>
    </row>
    <row r="75" spans="2:13" s="1" customFormat="1" x14ac:dyDescent="0.25">
      <c r="B75" s="444" t="s">
        <v>59</v>
      </c>
      <c r="C75" s="272"/>
      <c r="D75" s="25">
        <v>50000</v>
      </c>
      <c r="E75" s="272">
        <v>1</v>
      </c>
      <c r="F75" s="26">
        <f t="shared" si="8"/>
        <v>50000</v>
      </c>
      <c r="G75" s="31"/>
      <c r="I75" s="445"/>
      <c r="J75" s="446"/>
      <c r="K75" s="436"/>
      <c r="M75" s="28"/>
    </row>
    <row r="76" spans="2:13" s="1" customFormat="1" x14ac:dyDescent="0.25">
      <c r="B76" s="444" t="s">
        <v>60</v>
      </c>
      <c r="C76" s="272"/>
      <c r="D76" s="25">
        <v>50000</v>
      </c>
      <c r="E76" s="272">
        <v>1</v>
      </c>
      <c r="F76" s="26">
        <f t="shared" si="8"/>
        <v>50000</v>
      </c>
      <c r="G76" s="31"/>
      <c r="I76" s="445"/>
      <c r="J76" s="446"/>
      <c r="K76" s="436"/>
      <c r="M76" s="28"/>
    </row>
    <row r="77" spans="2:13" s="1" customFormat="1" x14ac:dyDescent="0.25">
      <c r="B77" s="444" t="s">
        <v>61</v>
      </c>
      <c r="C77" s="272"/>
      <c r="D77" s="25">
        <v>10000</v>
      </c>
      <c r="E77" s="272">
        <v>1</v>
      </c>
      <c r="F77" s="26">
        <f t="shared" si="8"/>
        <v>10000</v>
      </c>
      <c r="G77" s="31"/>
      <c r="I77" s="445"/>
      <c r="J77" s="446"/>
      <c r="K77" s="436"/>
      <c r="M77" s="28"/>
    </row>
    <row r="78" spans="2:13" s="1" customFormat="1" x14ac:dyDescent="0.25">
      <c r="B78" s="444" t="s">
        <v>62</v>
      </c>
      <c r="C78" s="272"/>
      <c r="D78" s="25">
        <v>50000</v>
      </c>
      <c r="E78" s="272">
        <v>1</v>
      </c>
      <c r="F78" s="26">
        <f t="shared" si="8"/>
        <v>50000</v>
      </c>
      <c r="G78" s="31"/>
      <c r="I78" s="445"/>
      <c r="J78" s="446"/>
      <c r="K78" s="436"/>
      <c r="M78" s="28"/>
    </row>
    <row r="79" spans="2:13" s="1" customFormat="1" x14ac:dyDescent="0.25">
      <c r="B79" s="444" t="s">
        <v>63</v>
      </c>
      <c r="C79" s="272"/>
      <c r="D79" s="25">
        <v>10000</v>
      </c>
      <c r="E79" s="272">
        <v>1</v>
      </c>
      <c r="F79" s="26">
        <f t="shared" si="8"/>
        <v>10000</v>
      </c>
      <c r="G79" s="31"/>
      <c r="I79" s="445"/>
      <c r="J79" s="446"/>
      <c r="K79" s="436"/>
      <c r="M79" s="28"/>
    </row>
    <row r="80" spans="2:13" s="1" customFormat="1" x14ac:dyDescent="0.25">
      <c r="B80" s="444" t="s">
        <v>64</v>
      </c>
      <c r="C80" s="272"/>
      <c r="D80" s="25">
        <v>10000</v>
      </c>
      <c r="E80" s="272">
        <v>1</v>
      </c>
      <c r="F80" s="26">
        <f t="shared" si="8"/>
        <v>10000</v>
      </c>
      <c r="G80" s="31"/>
      <c r="I80" s="445"/>
      <c r="J80" s="446"/>
      <c r="K80" s="436"/>
      <c r="M80" s="28"/>
    </row>
    <row r="81" spans="2:13" s="1" customFormat="1" x14ac:dyDescent="0.25">
      <c r="B81" s="444" t="s">
        <v>290</v>
      </c>
      <c r="C81" s="272"/>
      <c r="D81" s="25"/>
      <c r="E81" s="272"/>
      <c r="F81" s="26">
        <f t="shared" si="8"/>
        <v>0</v>
      </c>
      <c r="G81" s="31"/>
      <c r="I81" s="445"/>
      <c r="J81" s="446"/>
      <c r="K81" s="436"/>
      <c r="M81" s="28"/>
    </row>
    <row r="82" spans="2:13" s="1" customFormat="1" x14ac:dyDescent="0.25">
      <c r="B82" s="444" t="s">
        <v>290</v>
      </c>
      <c r="C82" s="272"/>
      <c r="D82" s="25"/>
      <c r="E82" s="272"/>
      <c r="F82" s="26">
        <f t="shared" si="8"/>
        <v>0</v>
      </c>
      <c r="G82" s="31"/>
      <c r="I82" s="445"/>
      <c r="J82" s="446"/>
      <c r="K82" s="436"/>
      <c r="M82" s="28"/>
    </row>
    <row r="83" spans="2:13" s="1" customFormat="1" x14ac:dyDescent="0.25">
      <c r="B83" s="447" t="s">
        <v>301</v>
      </c>
      <c r="C83" s="432"/>
      <c r="D83" s="59"/>
      <c r="E83" s="273">
        <v>0.2</v>
      </c>
      <c r="F83" s="26">
        <f>SUM($F$71:$F$82)*E83</f>
        <v>60000</v>
      </c>
      <c r="G83" s="31"/>
      <c r="I83" s="445"/>
      <c r="J83" s="446"/>
      <c r="K83" s="436"/>
      <c r="M83" s="28"/>
    </row>
    <row r="84" spans="2:13" s="1" customFormat="1" x14ac:dyDescent="0.25">
      <c r="B84" s="448" t="s">
        <v>65</v>
      </c>
      <c r="C84" s="449"/>
      <c r="D84" s="450"/>
      <c r="E84" s="32"/>
      <c r="F84" s="33">
        <f>SUM($F$71:$F$83)</f>
        <v>360000</v>
      </c>
      <c r="G84" s="30"/>
      <c r="I84" s="34"/>
      <c r="J84" s="451"/>
      <c r="K84" s="434"/>
      <c r="L84" s="13"/>
      <c r="M84" s="452"/>
    </row>
    <row r="85" spans="2:13" s="1" customFormat="1" x14ac:dyDescent="0.25">
      <c r="B85" s="439" t="s">
        <v>66</v>
      </c>
      <c r="C85" s="453"/>
      <c r="D85" s="454" t="s">
        <v>67</v>
      </c>
      <c r="E85" s="455"/>
      <c r="F85" s="456"/>
      <c r="G85" s="31"/>
      <c r="K85" s="457"/>
    </row>
    <row r="86" spans="2:13" s="1" customFormat="1" x14ac:dyDescent="0.25">
      <c r="B86" s="447" t="s">
        <v>68</v>
      </c>
      <c r="C86" s="24"/>
      <c r="D86" s="25">
        <v>10000</v>
      </c>
      <c r="E86" s="24">
        <v>1</v>
      </c>
      <c r="F86" s="26">
        <f>$D86*$E86</f>
        <v>10000</v>
      </c>
      <c r="G86" s="27"/>
      <c r="I86" s="445"/>
      <c r="J86" s="446"/>
      <c r="K86" s="436"/>
      <c r="M86" s="28"/>
    </row>
    <row r="87" spans="2:13" s="1" customFormat="1" x14ac:dyDescent="0.25">
      <c r="B87" s="447" t="s">
        <v>69</v>
      </c>
      <c r="C87" s="24"/>
      <c r="D87" s="25">
        <v>1000</v>
      </c>
      <c r="E87" s="24">
        <v>1</v>
      </c>
      <c r="F87" s="26">
        <f t="shared" ref="F87:F96" si="9">$D87*$E87</f>
        <v>1000</v>
      </c>
      <c r="G87" s="27"/>
      <c r="I87" s="445"/>
      <c r="J87" s="446"/>
      <c r="K87" s="436"/>
      <c r="M87" s="28"/>
    </row>
    <row r="88" spans="2:13" s="1" customFormat="1" x14ac:dyDescent="0.25">
      <c r="B88" s="447" t="s">
        <v>70</v>
      </c>
      <c r="C88" s="24"/>
      <c r="D88" s="25">
        <v>15000</v>
      </c>
      <c r="E88" s="24">
        <v>1</v>
      </c>
      <c r="F88" s="26">
        <f t="shared" si="9"/>
        <v>15000</v>
      </c>
      <c r="G88" s="27"/>
      <c r="I88" s="445"/>
      <c r="J88" s="446"/>
      <c r="K88" s="436"/>
      <c r="M88" s="28"/>
    </row>
    <row r="89" spans="2:13" s="1" customFormat="1" x14ac:dyDescent="0.25">
      <c r="B89" s="447" t="s">
        <v>71</v>
      </c>
      <c r="C89" s="24"/>
      <c r="D89" s="25">
        <v>10000</v>
      </c>
      <c r="E89" s="24">
        <v>1</v>
      </c>
      <c r="F89" s="26">
        <f t="shared" si="9"/>
        <v>10000</v>
      </c>
      <c r="G89" s="27"/>
      <c r="I89" s="445"/>
      <c r="J89" s="446"/>
      <c r="K89" s="436"/>
      <c r="M89" s="28"/>
    </row>
    <row r="90" spans="2:13" s="1" customFormat="1" x14ac:dyDescent="0.25">
      <c r="B90" s="447" t="s">
        <v>72</v>
      </c>
      <c r="C90" s="24"/>
      <c r="D90" s="25">
        <v>200000</v>
      </c>
      <c r="E90" s="24">
        <v>1</v>
      </c>
      <c r="F90" s="26">
        <f t="shared" si="9"/>
        <v>200000</v>
      </c>
      <c r="G90" s="27"/>
      <c r="I90" s="445"/>
      <c r="J90" s="446"/>
      <c r="K90" s="436"/>
      <c r="M90" s="28"/>
    </row>
    <row r="91" spans="2:13" s="1" customFormat="1" x14ac:dyDescent="0.25">
      <c r="B91" s="447" t="s">
        <v>73</v>
      </c>
      <c r="C91" s="24"/>
      <c r="D91" s="25">
        <v>50000</v>
      </c>
      <c r="E91" s="24">
        <v>1</v>
      </c>
      <c r="F91" s="26">
        <f t="shared" si="9"/>
        <v>50000</v>
      </c>
      <c r="G91" s="27"/>
      <c r="I91" s="445"/>
      <c r="J91" s="446"/>
      <c r="K91" s="436"/>
      <c r="M91" s="28"/>
    </row>
    <row r="92" spans="2:13" s="1" customFormat="1" x14ac:dyDescent="0.25">
      <c r="B92" s="447" t="s">
        <v>74</v>
      </c>
      <c r="C92" s="24"/>
      <c r="D92" s="25">
        <v>50000</v>
      </c>
      <c r="E92" s="24">
        <v>1</v>
      </c>
      <c r="F92" s="26">
        <f t="shared" si="9"/>
        <v>50000</v>
      </c>
      <c r="G92" s="27"/>
      <c r="I92" s="445"/>
      <c r="J92" s="446"/>
      <c r="K92" s="436"/>
      <c r="M92" s="28"/>
    </row>
    <row r="93" spans="2:13" s="1" customFormat="1" x14ac:dyDescent="0.25">
      <c r="B93" s="447" t="s">
        <v>75</v>
      </c>
      <c r="C93" s="24"/>
      <c r="D93" s="25">
        <v>100000</v>
      </c>
      <c r="E93" s="24">
        <v>1</v>
      </c>
      <c r="F93" s="26">
        <f t="shared" si="9"/>
        <v>100000</v>
      </c>
      <c r="G93" s="27"/>
      <c r="I93" s="445"/>
      <c r="J93" s="446"/>
      <c r="K93" s="436"/>
      <c r="M93" s="28"/>
    </row>
    <row r="94" spans="2:13" s="1" customFormat="1" x14ac:dyDescent="0.25">
      <c r="B94" s="447" t="s">
        <v>76</v>
      </c>
      <c r="C94" s="24"/>
      <c r="D94" s="25">
        <v>10000</v>
      </c>
      <c r="E94" s="24">
        <v>1</v>
      </c>
      <c r="F94" s="26">
        <f t="shared" si="9"/>
        <v>10000</v>
      </c>
      <c r="G94" s="27"/>
      <c r="I94" s="445"/>
      <c r="J94" s="446"/>
      <c r="K94" s="436"/>
      <c r="M94" s="28"/>
    </row>
    <row r="95" spans="2:13" s="1" customFormat="1" x14ac:dyDescent="0.25">
      <c r="B95" s="447" t="s">
        <v>290</v>
      </c>
      <c r="C95" s="24"/>
      <c r="D95" s="25">
        <v>600000</v>
      </c>
      <c r="E95" s="24">
        <v>1</v>
      </c>
      <c r="F95" s="26">
        <f t="shared" si="9"/>
        <v>600000</v>
      </c>
      <c r="G95" s="27"/>
      <c r="I95" s="445"/>
      <c r="J95" s="446"/>
      <c r="K95" s="436"/>
      <c r="M95" s="28"/>
    </row>
    <row r="96" spans="2:13" s="1" customFormat="1" x14ac:dyDescent="0.25">
      <c r="B96" s="447" t="s">
        <v>290</v>
      </c>
      <c r="C96" s="24"/>
      <c r="D96" s="25"/>
      <c r="E96" s="24"/>
      <c r="F96" s="26">
        <f t="shared" si="9"/>
        <v>0</v>
      </c>
      <c r="G96" s="27"/>
      <c r="I96" s="445"/>
      <c r="J96" s="446"/>
      <c r="K96" s="436"/>
      <c r="M96" s="28"/>
    </row>
    <row r="97" spans="2:13" s="1" customFormat="1" x14ac:dyDescent="0.25">
      <c r="B97" s="447" t="s">
        <v>301</v>
      </c>
      <c r="C97" s="432"/>
      <c r="D97" s="59"/>
      <c r="E97" s="273">
        <v>0.15</v>
      </c>
      <c r="F97" s="26">
        <f>SUM($F$86:$F$96)*E97</f>
        <v>156900</v>
      </c>
      <c r="G97" s="27"/>
      <c r="I97" s="445"/>
      <c r="J97" s="446"/>
      <c r="K97" s="436"/>
      <c r="M97" s="28"/>
    </row>
    <row r="98" spans="2:13" s="1" customFormat="1" x14ac:dyDescent="0.25">
      <c r="B98" s="448" t="s">
        <v>77</v>
      </c>
      <c r="C98" s="458"/>
      <c r="D98" s="459"/>
      <c r="E98" s="414"/>
      <c r="F98" s="33">
        <f>SUM($F$86:$F$97)</f>
        <v>1202900</v>
      </c>
      <c r="G98" s="30"/>
      <c r="I98" s="34"/>
      <c r="J98" s="451"/>
      <c r="K98" s="457"/>
      <c r="M98" s="452"/>
    </row>
    <row r="99" spans="2:13" s="1" customFormat="1" x14ac:dyDescent="0.25">
      <c r="B99" s="431" t="s">
        <v>78</v>
      </c>
      <c r="C99" s="460"/>
      <c r="D99" s="461"/>
      <c r="E99" s="187"/>
      <c r="F99" s="462"/>
      <c r="G99" s="31"/>
      <c r="K99" s="457"/>
    </row>
    <row r="100" spans="2:13" s="1" customFormat="1" x14ac:dyDescent="0.25">
      <c r="B100" s="447" t="s">
        <v>79</v>
      </c>
      <c r="C100" s="24"/>
      <c r="D100" s="25">
        <v>50000</v>
      </c>
      <c r="E100" s="24">
        <v>1</v>
      </c>
      <c r="F100" s="26">
        <f>$D100*$E100</f>
        <v>50000</v>
      </c>
      <c r="G100" s="27"/>
      <c r="I100" s="445"/>
      <c r="J100" s="446"/>
      <c r="K100" s="457"/>
      <c r="M100" s="28"/>
    </row>
    <row r="101" spans="2:13" s="1" customFormat="1" x14ac:dyDescent="0.25">
      <c r="B101" s="447" t="s">
        <v>80</v>
      </c>
      <c r="C101" s="24"/>
      <c r="D101" s="25">
        <v>50000</v>
      </c>
      <c r="E101" s="24">
        <v>1</v>
      </c>
      <c r="F101" s="26">
        <f t="shared" ref="F101:F106" si="10">$D101*$E101</f>
        <v>50000</v>
      </c>
      <c r="G101" s="27"/>
      <c r="I101" s="445"/>
      <c r="J101" s="446"/>
      <c r="K101" s="457"/>
      <c r="M101" s="28"/>
    </row>
    <row r="102" spans="2:13" s="1" customFormat="1" x14ac:dyDescent="0.25">
      <c r="B102" s="447" t="s">
        <v>81</v>
      </c>
      <c r="C102" s="24"/>
      <c r="D102" s="25">
        <v>25000</v>
      </c>
      <c r="E102" s="24">
        <v>1</v>
      </c>
      <c r="F102" s="26">
        <f t="shared" si="10"/>
        <v>25000</v>
      </c>
      <c r="G102" s="27"/>
      <c r="I102" s="445"/>
      <c r="J102" s="446"/>
      <c r="K102" s="457"/>
      <c r="M102" s="28"/>
    </row>
    <row r="103" spans="2:13" s="1" customFormat="1" x14ac:dyDescent="0.25">
      <c r="B103" s="447" t="s">
        <v>82</v>
      </c>
      <c r="C103" s="24"/>
      <c r="D103" s="25">
        <v>15000</v>
      </c>
      <c r="E103" s="24">
        <v>15</v>
      </c>
      <c r="F103" s="26">
        <f t="shared" si="10"/>
        <v>225000</v>
      </c>
      <c r="G103" s="27"/>
      <c r="I103" s="445"/>
      <c r="J103" s="446"/>
      <c r="K103" s="457"/>
      <c r="M103" s="28"/>
    </row>
    <row r="104" spans="2:13" s="1" customFormat="1" x14ac:dyDescent="0.25">
      <c r="B104" s="447" t="s">
        <v>83</v>
      </c>
      <c r="C104" s="24"/>
      <c r="D104" s="25">
        <v>10000</v>
      </c>
      <c r="E104" s="24">
        <v>1</v>
      </c>
      <c r="F104" s="26">
        <f t="shared" si="10"/>
        <v>10000</v>
      </c>
      <c r="G104" s="27"/>
      <c r="I104" s="445"/>
      <c r="J104" s="446"/>
      <c r="K104" s="457"/>
      <c r="M104" s="28"/>
    </row>
    <row r="105" spans="2:13" s="1" customFormat="1" x14ac:dyDescent="0.25">
      <c r="B105" s="447" t="s">
        <v>290</v>
      </c>
      <c r="C105" s="24"/>
      <c r="D105" s="25"/>
      <c r="E105" s="24"/>
      <c r="F105" s="26">
        <f t="shared" si="10"/>
        <v>0</v>
      </c>
      <c r="G105" s="27"/>
      <c r="I105" s="445"/>
      <c r="J105" s="446"/>
      <c r="K105" s="436"/>
      <c r="M105" s="28"/>
    </row>
    <row r="106" spans="2:13" s="1" customFormat="1" x14ac:dyDescent="0.25">
      <c r="B106" s="447" t="s">
        <v>290</v>
      </c>
      <c r="C106" s="24"/>
      <c r="D106" s="25"/>
      <c r="E106" s="24"/>
      <c r="F106" s="26">
        <f t="shared" si="10"/>
        <v>0</v>
      </c>
      <c r="G106" s="27"/>
      <c r="I106" s="445"/>
      <c r="J106" s="446"/>
      <c r="K106" s="436"/>
      <c r="M106" s="28"/>
    </row>
    <row r="107" spans="2:13" s="1" customFormat="1" x14ac:dyDescent="0.25">
      <c r="B107" s="447" t="s">
        <v>301</v>
      </c>
      <c r="C107" s="432"/>
      <c r="D107" s="59"/>
      <c r="E107" s="273">
        <v>0.2</v>
      </c>
      <c r="F107" s="26">
        <f>SUM(F100:F106)*E107</f>
        <v>72000</v>
      </c>
      <c r="G107" s="27"/>
      <c r="I107" s="445"/>
      <c r="J107" s="446"/>
      <c r="K107" s="436"/>
      <c r="M107" s="28"/>
    </row>
    <row r="108" spans="2:13" s="1" customFormat="1" x14ac:dyDescent="0.25">
      <c r="B108" s="463" t="s">
        <v>84</v>
      </c>
      <c r="C108" s="460"/>
      <c r="D108" s="460"/>
      <c r="E108" s="187"/>
      <c r="F108" s="29">
        <f>SUM($F$100:$F$107)</f>
        <v>432000</v>
      </c>
      <c r="G108" s="30"/>
      <c r="I108" s="34"/>
      <c r="J108" s="464"/>
      <c r="K108" s="457"/>
      <c r="M108" s="28"/>
    </row>
    <row r="109" spans="2:13" s="1" customFormat="1" x14ac:dyDescent="0.25">
      <c r="B109" s="431"/>
      <c r="C109" s="35"/>
      <c r="D109" s="465"/>
      <c r="E109" s="187"/>
      <c r="F109" s="29"/>
      <c r="G109" s="30"/>
      <c r="I109" s="34"/>
      <c r="J109" s="446"/>
      <c r="K109" s="457"/>
      <c r="M109" s="452"/>
    </row>
    <row r="110" spans="2:13" s="1" customFormat="1" x14ac:dyDescent="0.25">
      <c r="B110" s="466" t="s">
        <v>302</v>
      </c>
      <c r="C110" s="467"/>
      <c r="D110" s="468"/>
      <c r="E110" s="469"/>
      <c r="F110" s="36">
        <f>$F$69+$F$84+$F$98+$F$108</f>
        <v>4004900</v>
      </c>
      <c r="G110" s="37"/>
      <c r="H110" s="38"/>
      <c r="I110" s="38"/>
      <c r="J110" s="38"/>
      <c r="K110" s="457"/>
      <c r="M110" s="39"/>
    </row>
    <row r="111" spans="2:13" s="1" customFormat="1" x14ac:dyDescent="0.25">
      <c r="B111" s="635" t="s">
        <v>86</v>
      </c>
      <c r="C111" s="636"/>
      <c r="D111" s="636"/>
      <c r="E111" s="636"/>
      <c r="F111" s="637"/>
      <c r="G111" s="37"/>
      <c r="H111" s="38"/>
      <c r="I111" s="38"/>
      <c r="J111" s="38"/>
      <c r="K111" s="457"/>
      <c r="M111" s="39"/>
    </row>
    <row r="112" spans="2:13" s="1" customFormat="1" x14ac:dyDescent="0.25">
      <c r="B112" s="470" t="s">
        <v>87</v>
      </c>
      <c r="C112" s="471"/>
      <c r="D112" s="472" t="s">
        <v>42</v>
      </c>
      <c r="E112" s="184" t="s">
        <v>451</v>
      </c>
      <c r="F112" s="473" t="s">
        <v>88</v>
      </c>
    </row>
    <row r="113" spans="2:6" s="1" customFormat="1" x14ac:dyDescent="0.25">
      <c r="B113" s="2" t="str">
        <f>B70</f>
        <v>Site Civils &amp; Infrastructure</v>
      </c>
      <c r="D113" s="59">
        <f>$F$84</f>
        <v>360000</v>
      </c>
      <c r="E113" s="40">
        <f>D113/($F$60+$F$84+$F$98+$F$108)</f>
        <v>4.9613086829792659E-2</v>
      </c>
      <c r="F113" s="474" t="s">
        <v>89</v>
      </c>
    </row>
    <row r="114" spans="2:6" s="1" customFormat="1" x14ac:dyDescent="0.25">
      <c r="B114" s="2" t="str">
        <f>B85</f>
        <v>Professional Fees</v>
      </c>
      <c r="D114" s="59">
        <f>$F$98</f>
        <v>1202900</v>
      </c>
      <c r="E114" s="40">
        <f>D114/($F$60+$F$84+$F$98+$F$108)</f>
        <v>0.16577661707654887</v>
      </c>
      <c r="F114" s="475">
        <v>0.125</v>
      </c>
    </row>
    <row r="115" spans="2:6" s="1" customFormat="1" x14ac:dyDescent="0.25">
      <c r="B115" s="2" t="s">
        <v>90</v>
      </c>
      <c r="D115" s="59">
        <f>$F$108-$F$103</f>
        <v>207000</v>
      </c>
      <c r="E115" s="40">
        <f>D115/($F$60+$F$84+$F$98+$F$108)</f>
        <v>2.852752492713078E-2</v>
      </c>
      <c r="F115" s="475">
        <v>1.2500000000000001E-2</v>
      </c>
    </row>
    <row r="116" spans="2:6" s="1" customFormat="1" x14ac:dyDescent="0.25">
      <c r="B116" s="476" t="s">
        <v>303</v>
      </c>
      <c r="C116" s="12"/>
      <c r="D116" s="360">
        <f>F107+F97+F83+F59</f>
        <v>975150</v>
      </c>
      <c r="E116" s="41">
        <f>D116/($F$60+$F$84+$F$98+$F$108)</f>
        <v>0.13438944895020086</v>
      </c>
      <c r="F116" s="477" t="s">
        <v>304</v>
      </c>
    </row>
    <row r="117" spans="2:6" s="1" customFormat="1" x14ac:dyDescent="0.25"/>
    <row r="118" spans="2:6" s="1" customFormat="1" x14ac:dyDescent="0.25"/>
    <row r="119" spans="2:6" s="1" customFormat="1" x14ac:dyDescent="0.25"/>
    <row r="120" spans="2:6" s="1" customFormat="1" x14ac:dyDescent="0.25"/>
    <row r="121" spans="2:6" s="1" customFormat="1" x14ac:dyDescent="0.25"/>
    <row r="122" spans="2:6" s="1" customFormat="1" x14ac:dyDescent="0.25"/>
    <row r="123" spans="2:6" s="1" customFormat="1" x14ac:dyDescent="0.25"/>
    <row r="124" spans="2:6" s="1" customFormat="1" x14ac:dyDescent="0.25"/>
    <row r="125" spans="2:6" s="1" customFormat="1" x14ac:dyDescent="0.25"/>
    <row r="126" spans="2:6" s="1" customFormat="1" x14ac:dyDescent="0.25"/>
    <row r="127" spans="2:6" s="1" customFormat="1" x14ac:dyDescent="0.25"/>
    <row r="128" spans="2:6"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sheetData>
  <sheetProtection algorithmName="SHA-512" hashValue="duJWVkbsIt6emWdn7FIMFoO1KCJzKAE0tfvKz/888HZVcUD1EdA38gpPM3zxL1D6Qiz1sdCKl8qJo/rwHMB79g==" saltValue="CfD4E8pPH85K5mou/X12Jg==" spinCount="100000" sheet="1" objects="1" scenarios="1"/>
  <mergeCells count="8">
    <mergeCell ref="I39:K39"/>
    <mergeCell ref="L39:N39"/>
    <mergeCell ref="B2:N4"/>
    <mergeCell ref="B51:F51"/>
    <mergeCell ref="B111:F111"/>
    <mergeCell ref="B39:C39"/>
    <mergeCell ref="D39:E39"/>
    <mergeCell ref="F39:H39"/>
  </mergeCells>
  <conditionalFormatting sqref="I72:I109">
    <cfRule type="dataBar" priority="1">
      <dataBar showValue="0">
        <cfvo type="min"/>
        <cfvo type="max"/>
        <color rgb="FFFFC000"/>
      </dataBar>
      <extLst>
        <ext xmlns:x14="http://schemas.microsoft.com/office/spreadsheetml/2009/9/main" uri="{B025F937-C7B1-47D3-B67F-A62EFF666E3E}">
          <x14:id>{348B659E-751B-42FF-9E6C-1B0FD2F2FB80}</x14:id>
        </ext>
      </extLst>
    </cfRule>
    <cfRule type="dataBar" priority="2">
      <dataBar>
        <cfvo type="min"/>
        <cfvo type="max"/>
        <color rgb="FF638EC6"/>
      </dataBar>
      <extLst>
        <ext xmlns:x14="http://schemas.microsoft.com/office/spreadsheetml/2009/9/main" uri="{B025F937-C7B1-47D3-B67F-A62EFF666E3E}">
          <x14:id>{C04E6AC6-DDC8-4437-9789-4277152D1C29}</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48B659E-751B-42FF-9E6C-1B0FD2F2FB80}">
            <x14:dataBar minLength="0" maxLength="100" gradient="0">
              <x14:cfvo type="autoMin"/>
              <x14:cfvo type="autoMax"/>
              <x14:negativeFillColor rgb="FFFF0000"/>
              <x14:axisColor rgb="FF000000"/>
            </x14:dataBar>
          </x14:cfRule>
          <x14:cfRule type="dataBar" id="{C04E6AC6-DDC8-4437-9789-4277152D1C29}">
            <x14:dataBar minLength="0" maxLength="100" gradient="0">
              <x14:cfvo type="autoMin"/>
              <x14:cfvo type="autoMax"/>
              <x14:negativeFillColor rgb="FFFF0000"/>
              <x14:axisColor rgb="FF000000"/>
            </x14:dataBar>
          </x14:cfRule>
          <xm:sqref>I72:I109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6ECA73-88B7-4EDC-B6D3-75C6185C74FA}">
          <x14:formula1>
            <xm:f>Codes!$M$1:$M$6</xm:f>
          </x14:formula1>
          <xm:sqref>C16:C36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4871A-3C8A-4E16-8DA9-6CE8E5A812F7}">
  <sheetPr codeName="Sheet5">
    <tabColor theme="8"/>
  </sheetPr>
  <dimension ref="A1:EM389"/>
  <sheetViews>
    <sheetView topLeftCell="A126" zoomScale="80" zoomScaleNormal="80" workbookViewId="0">
      <selection activeCell="H107" sqref="H107"/>
    </sheetView>
  </sheetViews>
  <sheetFormatPr defaultColWidth="9" defaultRowHeight="15" x14ac:dyDescent="0.25"/>
  <cols>
    <col min="1" max="1" width="9.140625" style="1" customWidth="1"/>
    <col min="2" max="2" width="41.42578125" customWidth="1"/>
    <col min="3" max="3" width="28.140625" customWidth="1"/>
    <col min="4" max="4" width="33.140625" customWidth="1"/>
    <col min="5" max="5" width="26.85546875" customWidth="1"/>
    <col min="6" max="6" width="23.85546875" customWidth="1"/>
    <col min="7" max="7" width="21.5703125" bestFit="1" customWidth="1"/>
    <col min="8" max="8" width="21.5703125" customWidth="1"/>
    <col min="9" max="9" width="20.140625" customWidth="1"/>
    <col min="10" max="10" width="25.85546875" customWidth="1"/>
    <col min="11" max="11" width="30" style="1" customWidth="1"/>
    <col min="12" max="12" width="20.42578125" style="1" customWidth="1"/>
    <col min="13" max="13" width="17.7109375" style="1" customWidth="1"/>
    <col min="14" max="14" width="18.5703125" style="1" customWidth="1"/>
    <col min="15" max="15" width="19.42578125" style="1" customWidth="1"/>
    <col min="16" max="16" width="19.7109375" style="1" customWidth="1"/>
    <col min="17" max="17" width="17.28515625" style="1" customWidth="1"/>
    <col min="18" max="18" width="17.85546875" style="1" customWidth="1"/>
    <col min="19" max="19" width="16.85546875" style="1" customWidth="1"/>
    <col min="20" max="20" width="17.28515625" style="1" customWidth="1"/>
    <col min="21" max="21" width="17.140625" style="1" customWidth="1"/>
    <col min="22" max="22" width="17.7109375" style="1" customWidth="1"/>
    <col min="23" max="23" width="18" style="1" customWidth="1"/>
    <col min="24" max="24" width="15.85546875" style="1" customWidth="1"/>
    <col min="25" max="25" width="18" style="1" customWidth="1"/>
    <col min="26" max="26" width="15.85546875" style="1" customWidth="1"/>
    <col min="27" max="27" width="17.85546875" style="1" customWidth="1"/>
    <col min="28" max="28" width="16.140625" style="1" customWidth="1"/>
    <col min="29" max="29" width="17.28515625" style="1" customWidth="1"/>
    <col min="30" max="30" width="17.5703125" style="1" customWidth="1"/>
    <col min="31" max="31" width="16.5703125" style="1" customWidth="1"/>
    <col min="32" max="32" width="17.5703125" style="1" customWidth="1"/>
    <col min="33" max="33" width="18.42578125" style="1" customWidth="1"/>
    <col min="34" max="34" width="17.28515625" style="1" customWidth="1"/>
    <col min="35" max="35" width="16.5703125" style="1" customWidth="1"/>
    <col min="36" max="36" width="16.140625" style="1" customWidth="1"/>
    <col min="37" max="37" width="18.42578125" style="1" customWidth="1"/>
    <col min="38" max="38" width="16.28515625" style="1" customWidth="1"/>
    <col min="39" max="39" width="16.42578125" style="1" customWidth="1"/>
    <col min="40" max="40" width="15.28515625" style="1" customWidth="1"/>
    <col min="41" max="41" width="17.140625" style="1" customWidth="1"/>
    <col min="42" max="42" width="16.42578125" style="1" customWidth="1"/>
    <col min="43" max="43" width="15" style="1" customWidth="1"/>
    <col min="44" max="44" width="17" style="1" customWidth="1"/>
    <col min="45" max="45" width="16.42578125" style="1" customWidth="1"/>
    <col min="46" max="46" width="17.140625" style="1" customWidth="1"/>
    <col min="47" max="47" width="17" style="1" customWidth="1"/>
    <col min="48" max="48" width="16.28515625" style="1" customWidth="1"/>
    <col min="49" max="49" width="16.7109375" style="1" customWidth="1"/>
    <col min="50" max="50" width="15.7109375" style="1" customWidth="1"/>
    <col min="51" max="51" width="16.7109375" style="1" customWidth="1"/>
    <col min="52" max="52" width="19.85546875" style="1" customWidth="1"/>
    <col min="53" max="53" width="16.85546875" style="1" customWidth="1"/>
    <col min="54" max="54" width="17.42578125" style="1" customWidth="1"/>
    <col min="55" max="55" width="16.85546875" style="1" customWidth="1"/>
    <col min="56" max="56" width="17.140625" style="1" customWidth="1"/>
    <col min="57" max="57" width="16.7109375" style="1" customWidth="1"/>
    <col min="58" max="58" width="17.140625" style="1" customWidth="1"/>
    <col min="59" max="59" width="17.42578125" style="1" customWidth="1"/>
    <col min="60" max="60" width="16.85546875" style="1" customWidth="1"/>
    <col min="61" max="61" width="17.42578125" style="1" customWidth="1"/>
    <col min="62" max="63" width="16.42578125" style="1" customWidth="1"/>
    <col min="64" max="64" width="16.140625" style="1" customWidth="1"/>
    <col min="65" max="65" width="19.5703125" customWidth="1"/>
    <col min="67" max="143" width="9.140625" style="1" customWidth="1"/>
  </cols>
  <sheetData>
    <row r="1" spans="2:66" x14ac:dyDescent="0.25">
      <c r="B1" s="1"/>
      <c r="C1" s="1"/>
      <c r="D1" s="1"/>
      <c r="E1" s="1"/>
      <c r="F1" s="1"/>
      <c r="G1" s="1"/>
      <c r="H1" s="1"/>
      <c r="I1" s="1"/>
      <c r="J1" s="1"/>
      <c r="BM1" s="1"/>
      <c r="BN1" s="1"/>
    </row>
    <row r="2" spans="2:66" ht="15.75" customHeight="1" x14ac:dyDescent="0.25">
      <c r="B2" s="663" t="s">
        <v>390</v>
      </c>
      <c r="C2" s="663"/>
      <c r="D2" s="663"/>
      <c r="E2" s="663"/>
      <c r="F2" s="663"/>
      <c r="G2" s="663"/>
      <c r="H2" s="663"/>
      <c r="I2" s="663"/>
      <c r="J2" s="663"/>
      <c r="K2" s="663"/>
      <c r="L2" s="663"/>
      <c r="M2" s="478"/>
      <c r="N2" s="478"/>
      <c r="O2" s="478"/>
      <c r="P2" s="479"/>
      <c r="Y2" s="480"/>
      <c r="Z2" s="481"/>
      <c r="BM2" s="1"/>
      <c r="BN2" s="1"/>
    </row>
    <row r="3" spans="2:66" ht="17.649999999999999" customHeight="1" x14ac:dyDescent="0.25">
      <c r="B3" s="663"/>
      <c r="C3" s="663"/>
      <c r="D3" s="663"/>
      <c r="E3" s="663"/>
      <c r="F3" s="663"/>
      <c r="G3" s="663"/>
      <c r="H3" s="663"/>
      <c r="I3" s="663"/>
      <c r="J3" s="663"/>
      <c r="K3" s="663"/>
      <c r="L3" s="663"/>
      <c r="M3" s="478"/>
      <c r="N3" s="478"/>
      <c r="O3" s="478"/>
      <c r="P3" s="479"/>
      <c r="Y3" s="482"/>
      <c r="AC3" s="46"/>
      <c r="BM3" s="1"/>
      <c r="BN3" s="1"/>
    </row>
    <row r="4" spans="2:66" x14ac:dyDescent="0.25">
      <c r="B4" s="479"/>
      <c r="C4" s="479"/>
      <c r="D4" s="483"/>
      <c r="E4" s="479"/>
      <c r="F4" s="479"/>
      <c r="G4" s="479"/>
      <c r="H4" s="479"/>
      <c r="I4" s="479"/>
      <c r="J4" s="479"/>
      <c r="K4" s="479"/>
      <c r="L4" s="479"/>
      <c r="M4" s="479"/>
      <c r="N4" s="479"/>
      <c r="O4" s="479"/>
      <c r="P4" s="479"/>
      <c r="Y4" s="484"/>
      <c r="BM4" s="1"/>
      <c r="BN4" s="1"/>
    </row>
    <row r="5" spans="2:66" x14ac:dyDescent="0.25">
      <c r="B5" s="485" t="s">
        <v>322</v>
      </c>
      <c r="C5" s="486"/>
      <c r="D5" s="487"/>
      <c r="E5" s="486"/>
      <c r="F5" s="486"/>
      <c r="G5" s="486"/>
      <c r="H5" s="486"/>
      <c r="I5" s="486"/>
      <c r="J5" s="486"/>
      <c r="K5" s="486"/>
      <c r="L5" s="488"/>
      <c r="M5" s="479"/>
      <c r="N5" s="479"/>
      <c r="O5" s="479"/>
      <c r="P5" s="479"/>
      <c r="Y5" s="484"/>
      <c r="BM5" s="1"/>
      <c r="BN5" s="1"/>
    </row>
    <row r="6" spans="2:66" x14ac:dyDescent="0.25">
      <c r="B6" s="489" t="s">
        <v>346</v>
      </c>
      <c r="C6" s="479"/>
      <c r="D6" s="483"/>
      <c r="E6" s="479"/>
      <c r="F6" s="479"/>
      <c r="G6" s="479"/>
      <c r="H6" s="479"/>
      <c r="I6" s="479"/>
      <c r="J6" s="479"/>
      <c r="K6" s="479"/>
      <c r="L6" s="490"/>
      <c r="M6" s="479"/>
      <c r="N6" s="479"/>
      <c r="O6" s="479"/>
      <c r="P6" s="479"/>
      <c r="Y6" s="484"/>
      <c r="BM6" s="1"/>
      <c r="BN6" s="1"/>
    </row>
    <row r="7" spans="2:66" x14ac:dyDescent="0.25">
      <c r="B7" s="491" t="s">
        <v>305</v>
      </c>
      <c r="C7" s="479"/>
      <c r="D7" s="483"/>
      <c r="E7" s="479"/>
      <c r="F7" s="479"/>
      <c r="G7" s="479"/>
      <c r="H7" s="479"/>
      <c r="I7" s="479"/>
      <c r="J7" s="479"/>
      <c r="K7" s="479"/>
      <c r="L7" s="490"/>
      <c r="M7" s="479"/>
      <c r="N7" s="479"/>
      <c r="O7" s="479"/>
      <c r="P7" s="479"/>
      <c r="Y7" s="484"/>
      <c r="BM7" s="1"/>
      <c r="BN7" s="1"/>
    </row>
    <row r="8" spans="2:66" x14ac:dyDescent="0.25">
      <c r="B8" s="491" t="s">
        <v>306</v>
      </c>
      <c r="C8" s="479"/>
      <c r="D8" s="483"/>
      <c r="E8" s="479"/>
      <c r="F8" s="479"/>
      <c r="G8" s="479"/>
      <c r="H8" s="479"/>
      <c r="I8" s="479"/>
      <c r="J8" s="479"/>
      <c r="K8" s="479"/>
      <c r="L8" s="490"/>
      <c r="M8" s="479"/>
      <c r="N8" s="479"/>
      <c r="O8" s="479"/>
      <c r="P8" s="479"/>
      <c r="Y8" s="484"/>
      <c r="BM8" s="1"/>
      <c r="BN8" s="1"/>
    </row>
    <row r="9" spans="2:66" x14ac:dyDescent="0.25">
      <c r="B9" s="491"/>
      <c r="C9" s="479"/>
      <c r="D9" s="483"/>
      <c r="E9" s="479"/>
      <c r="F9" s="479"/>
      <c r="G9" s="479"/>
      <c r="H9" s="479"/>
      <c r="I9" s="479"/>
      <c r="J9" s="479"/>
      <c r="K9" s="479"/>
      <c r="L9" s="490"/>
      <c r="M9" s="479"/>
      <c r="N9" s="479"/>
      <c r="O9" s="479"/>
      <c r="P9" s="479"/>
      <c r="Y9" s="484"/>
      <c r="BM9" s="1"/>
      <c r="BN9" s="1"/>
    </row>
    <row r="10" spans="2:66" x14ac:dyDescent="0.25">
      <c r="B10" s="492" t="s">
        <v>440</v>
      </c>
      <c r="C10" s="493"/>
      <c r="D10" s="494"/>
      <c r="E10" s="493"/>
      <c r="F10" s="493"/>
      <c r="G10" s="493"/>
      <c r="H10" s="493"/>
      <c r="I10" s="493"/>
      <c r="J10" s="493"/>
      <c r="K10" s="493"/>
      <c r="L10" s="495"/>
      <c r="M10" s="479"/>
      <c r="N10" s="479"/>
      <c r="O10" s="479"/>
      <c r="P10" s="479"/>
      <c r="Y10" s="484"/>
      <c r="BM10" s="1"/>
      <c r="BN10" s="1"/>
    </row>
    <row r="11" spans="2:66" x14ac:dyDescent="0.25">
      <c r="B11" s="479"/>
      <c r="C11" s="479"/>
      <c r="D11" s="483"/>
      <c r="E11" s="479"/>
      <c r="F11" s="479"/>
      <c r="G11" s="479"/>
      <c r="H11" s="479"/>
      <c r="I11" s="479"/>
      <c r="J11" s="479"/>
      <c r="K11" s="479"/>
      <c r="L11" s="479"/>
      <c r="M11" s="479"/>
      <c r="N11" s="479"/>
      <c r="O11" s="479"/>
      <c r="P11" s="479"/>
      <c r="Y11" s="484"/>
      <c r="BM11" s="1"/>
      <c r="BN11" s="1"/>
    </row>
    <row r="12" spans="2:66" x14ac:dyDescent="0.25">
      <c r="B12" s="648" t="s">
        <v>365</v>
      </c>
      <c r="C12" s="648"/>
      <c r="D12" s="648"/>
      <c r="E12" s="648"/>
      <c r="F12" s="648"/>
      <c r="G12" s="648"/>
      <c r="H12" s="648"/>
      <c r="I12" s="648"/>
      <c r="J12" s="648"/>
      <c r="K12" s="648"/>
      <c r="L12" s="648"/>
      <c r="M12" s="479"/>
      <c r="N12" s="479"/>
      <c r="O12" s="479"/>
      <c r="P12" s="479"/>
      <c r="Y12" s="484"/>
      <c r="BM12" s="1"/>
      <c r="BN12" s="1"/>
    </row>
    <row r="13" spans="2:66" ht="15.75" thickBot="1" x14ac:dyDescent="0.3">
      <c r="B13" s="479"/>
      <c r="C13" s="479"/>
      <c r="D13" s="483"/>
      <c r="E13" s="479"/>
      <c r="F13" s="479"/>
      <c r="G13" s="479"/>
      <c r="H13" s="479"/>
      <c r="I13" s="479"/>
      <c r="J13" s="479"/>
      <c r="K13" s="479"/>
      <c r="L13" s="479"/>
      <c r="M13" s="479"/>
      <c r="N13" s="479"/>
      <c r="O13" s="479"/>
      <c r="P13" s="479"/>
      <c r="Y13" s="484"/>
      <c r="BM13" s="1"/>
      <c r="BN13" s="1"/>
    </row>
    <row r="14" spans="2:66" x14ac:dyDescent="0.25">
      <c r="B14" s="665" t="s">
        <v>232</v>
      </c>
      <c r="C14" s="666"/>
      <c r="D14" s="667"/>
      <c r="E14" s="1"/>
      <c r="F14" s="1"/>
      <c r="G14" s="664"/>
      <c r="H14" s="664"/>
      <c r="I14" s="664"/>
      <c r="J14" s="496"/>
      <c r="K14" s="496"/>
      <c r="L14" s="479"/>
      <c r="M14" s="479"/>
      <c r="N14" s="479"/>
      <c r="O14" s="479"/>
      <c r="P14" s="479"/>
      <c r="Y14" s="484"/>
      <c r="BM14" s="1"/>
      <c r="BN14" s="1"/>
    </row>
    <row r="15" spans="2:66" x14ac:dyDescent="0.25">
      <c r="B15" s="497" t="s">
        <v>352</v>
      </c>
      <c r="C15" s="479"/>
      <c r="D15" s="498" t="str">
        <f>IF(F161&lt;=0,"YES",IF(G161&lt;=0,"YES",IF(H161&lt;=0,"YES",IF(I161&lt;=0,"YES",IF(J161&lt;=0,"YES",IF(K161&lt;=0,"YES",IF(L161&lt;=0,"YES",IF(M161&lt;=0,"YES",IF(N161&lt;=0,"YES",IF(O161&lt;=0,"YES",IF(P161&lt;=0,"YES",IF(Q161&lt;=0,"YES",IF(R161&lt;=0,"YES",IF(S161&lt;=0,"YES",IF(T161&lt;=0,"YES",IF(U161&lt;=0,"YES",IF(V161&lt;=0,"YES",IF(W161&lt;=0,"YES",IF(X161&lt;=0,"YES",IF(Y161&lt;=0,"YES",IF(Z161&lt;=0,"YES",IF(AA161&lt;=0,"YES",IF(AB161&lt;=0,"YES",IF(AC161&lt;=0,"YES",IF(AD161&lt;=0,"YES",IF(AE161&lt;=0,"YES",IF(AF161&lt;=0,"YES",IF(AG161&lt;=0,"YES",IF(AH161&lt;=0,"YES",IF(AI161&lt;=0,"YES",IF(AJ161&lt;=0,"YES",IF(AK161&lt;=0,"YES",IF(AL161&lt;=0,"YES",IF(AM161&lt;=0,"YES",IF(AN161&lt;=0,"YES",IF(AO161&lt;=0,"YES",IF(AP161&lt;=0,"YES",IF(AQ161&lt;=0,"YES",IF(AR161&lt;=0,"YES",IF(AS161&lt;=0,"YES",IF(AT161&lt;=0,"YES",IF(AU161&lt;=0,"YES",IF(AV161&lt;=0,"YES",IF(AW161&lt;=0,"YES",IF(AX161&lt;=0,"YES",IF(AY161&lt;=0,"YES",IF(AZ161&lt;=0,"YES",IF(BA161&lt;=0,"YES",IF(BB161&lt;=0,"YES",IF(BC161&lt;=0,"YES",IF(BD161&lt;=0,"YES",IF(BE161&lt;=0,"YES",IF(BF161&lt;=0,"YES",IF(BG161&lt;=0,"YES",IF(BH161&lt;=0,"YES",IF(BI161&lt;=0,"YES",IF(BJ161&lt;=0,"YES",IF(BK161&lt;=0,"YES",IF(BL161&lt;=0,"YES",IF(BM161&lt;=0,"YES","NO"))))))))))))))))))))))))))))))))))))))))))))))))))))))))))))</f>
        <v>YES</v>
      </c>
      <c r="E15" s="1"/>
      <c r="F15" s="1"/>
      <c r="G15" s="1"/>
      <c r="H15" s="1"/>
      <c r="I15" s="1"/>
      <c r="J15" s="66"/>
      <c r="K15" s="148"/>
      <c r="L15" s="479"/>
      <c r="M15" s="479"/>
      <c r="N15" s="479"/>
      <c r="O15" s="479"/>
      <c r="P15" s="479"/>
      <c r="Y15" s="484"/>
      <c r="BM15" s="1"/>
      <c r="BN15" s="1"/>
    </row>
    <row r="16" spans="2:66" s="1" customFormat="1" x14ac:dyDescent="0.25">
      <c r="B16" s="200" t="s">
        <v>434</v>
      </c>
      <c r="C16" s="66"/>
      <c r="D16" s="274">
        <f>MAX(F165:BM165)</f>
        <v>3600321.2794345235</v>
      </c>
      <c r="E16" s="479"/>
      <c r="J16" s="66"/>
      <c r="K16" s="148"/>
      <c r="L16" s="479"/>
      <c r="M16" s="479"/>
      <c r="N16" s="479"/>
      <c r="O16" s="479"/>
      <c r="P16" s="479"/>
      <c r="Y16" s="484"/>
    </row>
    <row r="17" spans="2:66" x14ac:dyDescent="0.25">
      <c r="B17" s="200" t="s">
        <v>360</v>
      </c>
      <c r="C17" s="66"/>
      <c r="D17" s="275">
        <f>_xlfn.XLOOKUP(D16,F165:BM165,F116:BM116)</f>
        <v>18</v>
      </c>
      <c r="E17" s="479"/>
      <c r="F17" s="479"/>
      <c r="G17" s="1"/>
      <c r="H17" s="1"/>
      <c r="I17" s="1"/>
      <c r="J17" s="479"/>
      <c r="K17" s="479"/>
      <c r="L17" s="479"/>
      <c r="M17" s="479"/>
      <c r="N17" s="479"/>
      <c r="O17" s="479"/>
      <c r="P17" s="479"/>
      <c r="Y17" s="484"/>
      <c r="BM17" s="1"/>
      <c r="BN17" s="1"/>
    </row>
    <row r="18" spans="2:66" ht="15.75" thickBot="1" x14ac:dyDescent="0.3">
      <c r="B18" s="301" t="s">
        <v>361</v>
      </c>
      <c r="C18" s="302"/>
      <c r="D18" s="310">
        <f>_xlfn.XLOOKUP(D50,$F$116:$BM$116,'Detailed Feasibility'!$F$165:$BM$165)</f>
        <v>0</v>
      </c>
      <c r="E18" s="479"/>
      <c r="F18" s="479"/>
      <c r="G18" s="1"/>
      <c r="H18" s="1"/>
      <c r="I18" s="1"/>
      <c r="J18" s="479"/>
      <c r="K18" s="479"/>
      <c r="L18" s="479"/>
      <c r="M18" s="479"/>
      <c r="N18" s="479"/>
      <c r="O18" s="479"/>
      <c r="P18" s="479"/>
      <c r="Y18" s="484"/>
      <c r="BM18" s="1"/>
      <c r="BN18" s="1"/>
    </row>
    <row r="19" spans="2:66" x14ac:dyDescent="0.25">
      <c r="B19" s="479"/>
      <c r="C19" s="479"/>
      <c r="D19" s="483"/>
      <c r="E19" s="479"/>
      <c r="F19" s="479"/>
      <c r="G19" s="1"/>
      <c r="H19" s="1"/>
      <c r="I19" s="1"/>
      <c r="J19" s="479"/>
      <c r="K19" s="479"/>
      <c r="L19" s="479"/>
      <c r="M19" s="479"/>
      <c r="N19" s="479"/>
      <c r="O19" s="479"/>
      <c r="P19" s="479"/>
      <c r="Y19" s="484"/>
      <c r="BM19" s="1"/>
      <c r="BN19" s="1"/>
    </row>
    <row r="20" spans="2:66" x14ac:dyDescent="0.25">
      <c r="B20" s="662" t="s">
        <v>369</v>
      </c>
      <c r="C20" s="662"/>
      <c r="D20" s="662"/>
      <c r="E20" s="662"/>
      <c r="F20" s="662"/>
      <c r="G20" s="662"/>
      <c r="H20" s="662"/>
      <c r="I20" s="662"/>
      <c r="J20" s="662"/>
      <c r="K20" s="479"/>
      <c r="L20" s="479"/>
      <c r="M20" s="479"/>
      <c r="N20" s="479"/>
      <c r="O20" s="479"/>
      <c r="P20" s="479"/>
      <c r="Y20" s="484"/>
      <c r="BM20" s="1"/>
      <c r="BN20" s="1"/>
    </row>
    <row r="21" spans="2:66" x14ac:dyDescent="0.25">
      <c r="B21" s="479"/>
      <c r="C21" s="479"/>
      <c r="D21" s="483"/>
      <c r="E21" s="479"/>
      <c r="F21" s="479"/>
      <c r="G21" s="479"/>
      <c r="H21" s="479"/>
      <c r="I21" s="479"/>
      <c r="J21" s="479"/>
      <c r="K21" s="479"/>
      <c r="L21" s="479"/>
      <c r="M21" s="479"/>
      <c r="N21" s="479"/>
      <c r="O21" s="479"/>
      <c r="P21" s="479"/>
      <c r="Y21" s="484"/>
      <c r="BM21" s="1"/>
      <c r="BN21" s="1"/>
    </row>
    <row r="22" spans="2:66" x14ac:dyDescent="0.25">
      <c r="B22" s="479"/>
      <c r="C22" s="479"/>
      <c r="D22" s="483"/>
      <c r="E22" s="479"/>
      <c r="F22" s="479"/>
      <c r="G22" s="479"/>
      <c r="H22" s="479"/>
      <c r="I22" s="479"/>
      <c r="J22" s="479"/>
      <c r="K22" s="479"/>
      <c r="L22" s="479"/>
      <c r="M22" s="479"/>
      <c r="N22" s="479"/>
      <c r="O22" s="479"/>
      <c r="P22" s="479"/>
      <c r="Y22" s="484"/>
      <c r="BM22" s="1"/>
      <c r="BN22" s="1"/>
    </row>
    <row r="23" spans="2:66" x14ac:dyDescent="0.25">
      <c r="B23" s="479"/>
      <c r="C23" s="479"/>
      <c r="D23" s="483"/>
      <c r="E23" s="479"/>
      <c r="F23" s="479"/>
      <c r="G23" s="479"/>
      <c r="H23" s="479"/>
      <c r="I23" s="479"/>
      <c r="J23" s="479"/>
      <c r="K23" s="479"/>
      <c r="L23" s="479"/>
      <c r="M23" s="479"/>
      <c r="N23" s="479"/>
      <c r="O23" s="479"/>
      <c r="P23" s="479"/>
      <c r="Y23" s="484"/>
      <c r="BM23" s="1"/>
      <c r="BN23" s="1"/>
    </row>
    <row r="24" spans="2:66" x14ac:dyDescent="0.25">
      <c r="B24" s="479"/>
      <c r="C24" s="479"/>
      <c r="D24" s="483"/>
      <c r="E24" s="479"/>
      <c r="F24" s="479"/>
      <c r="G24" s="479"/>
      <c r="H24" s="479"/>
      <c r="I24" s="479"/>
      <c r="J24" s="479"/>
      <c r="K24" s="479"/>
      <c r="L24" s="479"/>
      <c r="M24" s="479"/>
      <c r="N24" s="479"/>
      <c r="O24" s="479"/>
      <c r="P24" s="479"/>
      <c r="Y24" s="484"/>
      <c r="BM24" s="1"/>
      <c r="BN24" s="1"/>
    </row>
    <row r="25" spans="2:66" x14ac:dyDescent="0.25">
      <c r="B25" s="479"/>
      <c r="C25" s="479"/>
      <c r="D25" s="483"/>
      <c r="E25" s="479"/>
      <c r="F25" s="479"/>
      <c r="G25" s="479"/>
      <c r="H25" s="479"/>
      <c r="I25" s="479"/>
      <c r="J25" s="479"/>
      <c r="K25" s="479"/>
      <c r="L25" s="479"/>
      <c r="M25" s="479"/>
      <c r="N25" s="479"/>
      <c r="O25" s="479"/>
      <c r="P25" s="479"/>
      <c r="Y25" s="484"/>
      <c r="BM25" s="1"/>
      <c r="BN25" s="1"/>
    </row>
    <row r="26" spans="2:66" x14ac:dyDescent="0.25">
      <c r="B26" s="479"/>
      <c r="C26" s="479"/>
      <c r="D26" s="483"/>
      <c r="E26" s="479"/>
      <c r="F26" s="479"/>
      <c r="G26" s="479"/>
      <c r="H26" s="479"/>
      <c r="I26" s="479"/>
      <c r="J26" s="479"/>
      <c r="K26" s="479"/>
      <c r="L26" s="479"/>
      <c r="M26" s="479"/>
      <c r="N26" s="479"/>
      <c r="O26" s="479"/>
      <c r="P26" s="479"/>
      <c r="Y26" s="484"/>
      <c r="BM26" s="1"/>
      <c r="BN26" s="1"/>
    </row>
    <row r="27" spans="2:66" x14ac:dyDescent="0.25">
      <c r="B27" s="479"/>
      <c r="C27" s="479"/>
      <c r="D27" s="483"/>
      <c r="E27" s="479"/>
      <c r="F27" s="479"/>
      <c r="G27" s="479"/>
      <c r="H27" s="479"/>
      <c r="I27" s="479"/>
      <c r="J27" s="479"/>
      <c r="K27" s="479"/>
      <c r="L27" s="479"/>
      <c r="M27" s="479"/>
      <c r="N27" s="479"/>
      <c r="O27" s="479"/>
      <c r="P27" s="479"/>
      <c r="Y27" s="484"/>
      <c r="BM27" s="1"/>
      <c r="BN27" s="1"/>
    </row>
    <row r="28" spans="2:66" x14ac:dyDescent="0.25">
      <c r="B28" s="479"/>
      <c r="C28" s="479"/>
      <c r="D28" s="483"/>
      <c r="E28" s="479"/>
      <c r="F28" s="479"/>
      <c r="G28" s="479"/>
      <c r="H28" s="479"/>
      <c r="I28" s="479"/>
      <c r="J28" s="479"/>
      <c r="K28" s="479"/>
      <c r="L28" s="479"/>
      <c r="M28" s="479"/>
      <c r="N28" s="479"/>
      <c r="O28" s="479"/>
      <c r="P28" s="479"/>
      <c r="Y28" s="484"/>
      <c r="BM28" s="1"/>
      <c r="BN28" s="1"/>
    </row>
    <row r="29" spans="2:66" x14ac:dyDescent="0.25">
      <c r="B29" s="479"/>
      <c r="C29" s="479"/>
      <c r="D29" s="483"/>
      <c r="E29" s="479"/>
      <c r="F29" s="479"/>
      <c r="G29" s="479"/>
      <c r="H29" s="479"/>
      <c r="I29" s="479"/>
      <c r="J29" s="479"/>
      <c r="K29" s="479"/>
      <c r="L29" s="479"/>
      <c r="M29" s="479"/>
      <c r="N29" s="479"/>
      <c r="O29" s="479"/>
      <c r="P29" s="479"/>
      <c r="Y29" s="484"/>
      <c r="BM29" s="1"/>
      <c r="BN29" s="1"/>
    </row>
    <row r="30" spans="2:66" x14ac:dyDescent="0.25">
      <c r="B30" s="479"/>
      <c r="C30" s="479"/>
      <c r="D30" s="483"/>
      <c r="E30" s="479"/>
      <c r="F30" s="479"/>
      <c r="G30" s="479"/>
      <c r="H30" s="479"/>
      <c r="I30" s="479"/>
      <c r="J30" s="479"/>
      <c r="K30" s="479"/>
      <c r="L30" s="479"/>
      <c r="M30" s="479"/>
      <c r="N30" s="479"/>
      <c r="O30" s="479"/>
      <c r="P30" s="479"/>
      <c r="Y30" s="484"/>
      <c r="BM30" s="1"/>
      <c r="BN30" s="1"/>
    </row>
    <row r="31" spans="2:66" x14ac:dyDescent="0.25">
      <c r="B31" s="479"/>
      <c r="C31" s="479"/>
      <c r="D31" s="483"/>
      <c r="E31" s="479"/>
      <c r="F31" s="479"/>
      <c r="G31" s="479"/>
      <c r="H31" s="479"/>
      <c r="I31" s="479"/>
      <c r="J31" s="479"/>
      <c r="K31" s="479"/>
      <c r="L31" s="479"/>
      <c r="M31" s="479"/>
      <c r="N31" s="479"/>
      <c r="O31" s="479"/>
      <c r="P31" s="479"/>
      <c r="Y31" s="484"/>
      <c r="BM31" s="1"/>
      <c r="BN31" s="1"/>
    </row>
    <row r="32" spans="2:66" x14ac:dyDescent="0.25">
      <c r="B32" s="479"/>
      <c r="C32" s="479"/>
      <c r="D32" s="483"/>
      <c r="E32" s="479"/>
      <c r="F32" s="479"/>
      <c r="G32" s="479"/>
      <c r="H32" s="479"/>
      <c r="I32" s="479"/>
      <c r="J32" s="479"/>
      <c r="K32" s="479"/>
      <c r="L32" s="479"/>
      <c r="M32" s="479"/>
      <c r="N32" s="479"/>
      <c r="O32" s="479"/>
      <c r="P32" s="479"/>
      <c r="Y32" s="484"/>
      <c r="BM32" s="1"/>
      <c r="BN32" s="1"/>
    </row>
    <row r="33" spans="2:66" x14ac:dyDescent="0.25">
      <c r="B33" s="479"/>
      <c r="C33" s="479"/>
      <c r="D33" s="483"/>
      <c r="E33" s="479"/>
      <c r="F33" s="479"/>
      <c r="G33" s="479"/>
      <c r="H33" s="479"/>
      <c r="I33" s="479"/>
      <c r="J33" s="479"/>
      <c r="K33" s="479"/>
      <c r="L33" s="479"/>
      <c r="M33" s="479"/>
      <c r="N33" s="479"/>
      <c r="O33" s="479"/>
      <c r="P33" s="479"/>
      <c r="Y33" s="484"/>
      <c r="BM33" s="1"/>
      <c r="BN33" s="1"/>
    </row>
    <row r="34" spans="2:66" x14ac:dyDescent="0.25">
      <c r="B34" s="479"/>
      <c r="C34" s="479"/>
      <c r="D34" s="483"/>
      <c r="E34" s="479"/>
      <c r="F34" s="479"/>
      <c r="G34" s="479"/>
      <c r="H34" s="479"/>
      <c r="I34" s="479"/>
      <c r="J34" s="479"/>
      <c r="K34" s="479"/>
      <c r="L34" s="479"/>
      <c r="M34" s="479"/>
      <c r="N34" s="479"/>
      <c r="O34" s="479"/>
      <c r="P34" s="479"/>
      <c r="Y34" s="484"/>
      <c r="BM34" s="1"/>
      <c r="BN34" s="1"/>
    </row>
    <row r="35" spans="2:66" x14ac:dyDescent="0.25">
      <c r="B35" s="479"/>
      <c r="C35" s="479"/>
      <c r="D35" s="483"/>
      <c r="E35" s="479"/>
      <c r="F35" s="479"/>
      <c r="G35" s="479"/>
      <c r="H35" s="479"/>
      <c r="I35" s="479"/>
      <c r="J35" s="479"/>
      <c r="K35" s="479"/>
      <c r="L35" s="479"/>
      <c r="M35" s="479"/>
      <c r="N35" s="479"/>
      <c r="O35" s="479"/>
      <c r="P35" s="479"/>
      <c r="Y35" s="484"/>
      <c r="BM35" s="1"/>
      <c r="BN35" s="1"/>
    </row>
    <row r="36" spans="2:66" x14ac:dyDescent="0.25">
      <c r="B36" s="479"/>
      <c r="C36" s="479"/>
      <c r="D36" s="483"/>
      <c r="E36" s="479"/>
      <c r="F36" s="479"/>
      <c r="G36" s="479"/>
      <c r="H36" s="479"/>
      <c r="I36" s="479"/>
      <c r="J36" s="479"/>
      <c r="K36" s="479"/>
      <c r="L36" s="479"/>
      <c r="M36" s="479"/>
      <c r="N36" s="479"/>
      <c r="O36" s="479"/>
      <c r="P36" s="479"/>
      <c r="Y36" s="484"/>
      <c r="BM36" s="1"/>
      <c r="BN36" s="1"/>
    </row>
    <row r="37" spans="2:66" x14ac:dyDescent="0.25">
      <c r="B37" s="479"/>
      <c r="C37" s="479"/>
      <c r="D37" s="483"/>
      <c r="E37" s="479"/>
      <c r="F37" s="479"/>
      <c r="G37" s="479"/>
      <c r="H37" s="479"/>
      <c r="I37" s="479"/>
      <c r="J37" s="479"/>
      <c r="K37" s="479"/>
      <c r="L37" s="479"/>
      <c r="M37" s="479"/>
      <c r="N37" s="479"/>
      <c r="O37" s="479"/>
      <c r="P37" s="479"/>
      <c r="Y37" s="484"/>
      <c r="BM37" s="1"/>
      <c r="BN37" s="1"/>
    </row>
    <row r="38" spans="2:66" x14ac:dyDescent="0.25">
      <c r="B38" s="479"/>
      <c r="C38" s="479"/>
      <c r="D38" s="483"/>
      <c r="E38" s="479"/>
      <c r="F38" s="479"/>
      <c r="G38" s="479"/>
      <c r="H38" s="479"/>
      <c r="I38" s="479"/>
      <c r="J38" s="479"/>
      <c r="K38" s="479"/>
      <c r="L38" s="479"/>
      <c r="M38" s="479"/>
      <c r="N38" s="479"/>
      <c r="O38" s="479"/>
      <c r="P38" s="479"/>
      <c r="Y38" s="484"/>
      <c r="BM38" s="1"/>
      <c r="BN38" s="1"/>
    </row>
    <row r="39" spans="2:66" x14ac:dyDescent="0.25">
      <c r="B39" s="479"/>
      <c r="C39" s="479"/>
      <c r="D39" s="483"/>
      <c r="E39" s="479"/>
      <c r="F39" s="479"/>
      <c r="G39" s="479"/>
      <c r="H39" s="479"/>
      <c r="I39" s="479"/>
      <c r="J39" s="479"/>
      <c r="K39" s="479"/>
      <c r="L39" s="479"/>
      <c r="M39" s="479"/>
      <c r="N39" s="479"/>
      <c r="O39" s="479"/>
      <c r="P39" s="479"/>
      <c r="Y39" s="484"/>
      <c r="BM39" s="1"/>
      <c r="BN39" s="1"/>
    </row>
    <row r="40" spans="2:66" x14ac:dyDescent="0.25">
      <c r="B40" s="479"/>
      <c r="C40" s="479"/>
      <c r="D40" s="483"/>
      <c r="E40" s="479"/>
      <c r="F40" s="479"/>
      <c r="G40" s="479"/>
      <c r="H40" s="479"/>
      <c r="I40" s="479"/>
      <c r="J40" s="479"/>
      <c r="K40" s="479"/>
      <c r="L40" s="479"/>
      <c r="M40" s="479"/>
      <c r="N40" s="479"/>
      <c r="O40" s="479"/>
      <c r="P40" s="479"/>
      <c r="Y40" s="484"/>
      <c r="BM40" s="1"/>
      <c r="BN40" s="1"/>
    </row>
    <row r="41" spans="2:66" x14ac:dyDescent="0.25">
      <c r="B41" s="479"/>
      <c r="C41" s="479"/>
      <c r="D41" s="483"/>
      <c r="E41" s="479"/>
      <c r="F41" s="479"/>
      <c r="G41" s="479"/>
      <c r="H41" s="479"/>
      <c r="I41" s="479"/>
      <c r="J41" s="479"/>
      <c r="K41" s="479"/>
      <c r="L41" s="479"/>
      <c r="M41" s="479"/>
      <c r="N41" s="479"/>
      <c r="O41" s="479"/>
      <c r="P41" s="479"/>
      <c r="Y41" s="484"/>
      <c r="BM41" s="1"/>
      <c r="BN41" s="1"/>
    </row>
    <row r="42" spans="2:66" x14ac:dyDescent="0.25">
      <c r="B42" s="479"/>
      <c r="C42" s="479"/>
      <c r="D42" s="483"/>
      <c r="E42" s="479"/>
      <c r="F42" s="479"/>
      <c r="G42" s="479"/>
      <c r="H42" s="479"/>
      <c r="I42" s="479"/>
      <c r="J42" s="479"/>
      <c r="K42" s="479"/>
      <c r="L42" s="479"/>
      <c r="M42" s="479"/>
      <c r="N42" s="479"/>
      <c r="O42" s="479"/>
      <c r="P42" s="479"/>
      <c r="Y42" s="484"/>
      <c r="BM42" s="1"/>
      <c r="BN42" s="1"/>
    </row>
    <row r="43" spans="2:66" x14ac:dyDescent="0.25">
      <c r="B43" s="479"/>
      <c r="C43" s="479"/>
      <c r="D43" s="483"/>
      <c r="E43" s="479"/>
      <c r="F43" s="479"/>
      <c r="G43" s="479"/>
      <c r="H43" s="479"/>
      <c r="I43" s="479"/>
      <c r="J43" s="479"/>
      <c r="K43" s="479"/>
      <c r="L43" s="479"/>
      <c r="M43" s="479"/>
      <c r="N43" s="479"/>
      <c r="O43" s="479"/>
      <c r="P43" s="479"/>
      <c r="Y43" s="484"/>
      <c r="BM43" s="1"/>
      <c r="BN43" s="1"/>
    </row>
    <row r="44" spans="2:66" x14ac:dyDescent="0.25">
      <c r="B44" s="648" t="s">
        <v>364</v>
      </c>
      <c r="C44" s="648"/>
      <c r="D44" s="648"/>
      <c r="E44" s="648"/>
      <c r="F44" s="648"/>
      <c r="G44" s="648"/>
      <c r="H44" s="648"/>
      <c r="I44" s="648"/>
      <c r="J44" s="648"/>
      <c r="K44" s="648"/>
      <c r="L44" s="648"/>
      <c r="M44" s="479"/>
      <c r="N44" s="479"/>
      <c r="O44" s="479"/>
      <c r="P44" s="479"/>
      <c r="Y44" s="484"/>
      <c r="BM44" s="1"/>
      <c r="BN44" s="1"/>
    </row>
    <row r="45" spans="2:66" x14ac:dyDescent="0.25">
      <c r="B45" s="479"/>
      <c r="C45" s="479"/>
      <c r="D45" s="483"/>
      <c r="E45" s="479"/>
      <c r="F45" s="479"/>
      <c r="G45" s="479"/>
      <c r="H45" s="479"/>
      <c r="I45" s="479"/>
      <c r="J45" s="479"/>
      <c r="K45" s="479"/>
      <c r="L45" s="479"/>
      <c r="M45" s="479"/>
      <c r="N45" s="479"/>
      <c r="O45" s="479"/>
      <c r="P45" s="479"/>
      <c r="Y45" s="484"/>
      <c r="BM45" s="1"/>
      <c r="BN45" s="1"/>
    </row>
    <row r="46" spans="2:66" x14ac:dyDescent="0.25">
      <c r="B46" s="499" t="s">
        <v>347</v>
      </c>
      <c r="C46" s="479"/>
      <c r="D46" s="483"/>
      <c r="E46" s="479"/>
      <c r="F46" s="479"/>
      <c r="G46" s="479"/>
      <c r="H46" s="479"/>
      <c r="I46" s="479"/>
      <c r="J46" s="479"/>
      <c r="K46" s="479"/>
      <c r="L46" s="479"/>
      <c r="M46" s="479"/>
      <c r="N46" s="479"/>
      <c r="O46" s="479"/>
      <c r="P46" s="479"/>
      <c r="Y46" s="484"/>
      <c r="BM46" s="1"/>
      <c r="BN46" s="1"/>
    </row>
    <row r="47" spans="2:66" x14ac:dyDescent="0.25">
      <c r="B47" s="479"/>
      <c r="C47" s="479"/>
      <c r="D47" s="483"/>
      <c r="E47" s="479"/>
      <c r="F47" s="479"/>
      <c r="G47" s="479"/>
      <c r="H47" s="479"/>
      <c r="I47" s="479"/>
      <c r="J47" s="479"/>
      <c r="K47" s="479"/>
      <c r="L47" s="479"/>
      <c r="M47" s="479"/>
      <c r="N47" s="479"/>
      <c r="O47" s="479"/>
      <c r="P47" s="479"/>
      <c r="Y47" s="484"/>
      <c r="BM47" s="1"/>
      <c r="BN47" s="1"/>
    </row>
    <row r="48" spans="2:66" x14ac:dyDescent="0.25">
      <c r="B48" s="219" t="s">
        <v>295</v>
      </c>
      <c r="C48" s="219"/>
      <c r="D48" s="266">
        <v>44470</v>
      </c>
      <c r="E48" s="479"/>
      <c r="F48" s="479"/>
      <c r="G48" s="479"/>
      <c r="H48" s="479"/>
      <c r="I48" s="479"/>
      <c r="J48" s="479"/>
      <c r="K48" s="479"/>
      <c r="L48" s="479"/>
      <c r="M48" s="479"/>
      <c r="N48" s="479"/>
      <c r="O48" s="479"/>
      <c r="P48" s="479"/>
      <c r="Y48" s="484"/>
      <c r="BM48" s="1"/>
      <c r="BN48" s="1"/>
    </row>
    <row r="49" spans="2:66" x14ac:dyDescent="0.25">
      <c r="B49" s="219" t="s">
        <v>296</v>
      </c>
      <c r="C49" s="219"/>
      <c r="D49" s="266">
        <v>45566</v>
      </c>
      <c r="E49" s="479"/>
      <c r="F49" s="479"/>
      <c r="G49" s="479"/>
      <c r="H49" s="479"/>
      <c r="I49" s="479"/>
      <c r="J49" s="479"/>
      <c r="K49" s="479"/>
      <c r="L49" s="479"/>
      <c r="M49" s="479"/>
      <c r="N49" s="479"/>
      <c r="O49" s="479"/>
      <c r="P49" s="479"/>
      <c r="Y49" s="484"/>
      <c r="BM49" s="1"/>
      <c r="BN49" s="1"/>
    </row>
    <row r="50" spans="2:66" x14ac:dyDescent="0.25">
      <c r="B50" s="219" t="s">
        <v>371</v>
      </c>
      <c r="C50" s="219"/>
      <c r="D50" s="500">
        <f>DATEDIF(D48,D49,"M")+1</f>
        <v>37</v>
      </c>
      <c r="E50" s="479"/>
      <c r="F50" s="479"/>
      <c r="G50" s="479"/>
      <c r="H50" s="479"/>
      <c r="I50" s="479"/>
      <c r="J50" s="479"/>
      <c r="K50" s="479"/>
      <c r="L50" s="479"/>
      <c r="M50" s="479"/>
      <c r="N50" s="479"/>
      <c r="O50" s="479"/>
      <c r="P50" s="479"/>
      <c r="Y50" s="484"/>
      <c r="BM50" s="1"/>
      <c r="BN50" s="1"/>
    </row>
    <row r="51" spans="2:66" x14ac:dyDescent="0.25">
      <c r="B51" s="219"/>
      <c r="C51" s="501"/>
      <c r="D51" s="500"/>
      <c r="E51" s="479"/>
      <c r="F51" s="479"/>
      <c r="G51" s="479"/>
      <c r="H51" s="479"/>
      <c r="I51" s="479"/>
      <c r="J51" s="479"/>
      <c r="K51" s="479"/>
      <c r="L51" s="479"/>
      <c r="M51" s="479"/>
      <c r="N51" s="479"/>
      <c r="O51" s="479"/>
      <c r="P51" s="479"/>
      <c r="Y51" s="484"/>
      <c r="BM51" s="1"/>
      <c r="BN51" s="1"/>
    </row>
    <row r="52" spans="2:66" x14ac:dyDescent="0.25">
      <c r="B52" s="393" t="s">
        <v>307</v>
      </c>
      <c r="C52" s="479"/>
      <c r="D52" s="483"/>
      <c r="E52" s="479"/>
      <c r="F52" s="479"/>
      <c r="G52" s="479"/>
      <c r="H52" s="479"/>
      <c r="I52" s="479"/>
      <c r="J52" s="479"/>
      <c r="K52" s="479"/>
      <c r="L52" s="479"/>
      <c r="M52" s="479"/>
      <c r="N52" s="479"/>
      <c r="O52" s="479"/>
      <c r="P52" s="479"/>
      <c r="Y52" s="484"/>
      <c r="BM52" s="1"/>
      <c r="BN52" s="1"/>
    </row>
    <row r="53" spans="2:66" x14ac:dyDescent="0.25">
      <c r="B53" s="479"/>
      <c r="C53" s="479"/>
      <c r="D53" s="483"/>
      <c r="E53" s="479"/>
      <c r="F53" s="479"/>
      <c r="G53" s="479"/>
      <c r="H53" s="479"/>
      <c r="I53" s="479"/>
      <c r="J53" s="479"/>
      <c r="K53" s="479"/>
      <c r="L53" s="479"/>
      <c r="M53" s="479"/>
      <c r="N53" s="479"/>
      <c r="O53" s="479"/>
      <c r="P53" s="479"/>
      <c r="Y53" s="484"/>
      <c r="BM53" s="1"/>
      <c r="BN53" s="1"/>
    </row>
    <row r="54" spans="2:66" x14ac:dyDescent="0.25">
      <c r="B54" s="502" t="s">
        <v>95</v>
      </c>
      <c r="C54" s="503" t="s">
        <v>96</v>
      </c>
      <c r="D54" s="504" t="s">
        <v>97</v>
      </c>
      <c r="E54" s="479"/>
      <c r="F54" s="479"/>
      <c r="G54" s="479"/>
      <c r="H54" s="479"/>
      <c r="I54" s="479"/>
      <c r="J54" s="479"/>
      <c r="K54" s="479"/>
      <c r="L54" s="479"/>
      <c r="M54" s="479"/>
      <c r="N54" s="479"/>
      <c r="O54" s="479"/>
      <c r="P54" s="479"/>
      <c r="Y54" s="484"/>
      <c r="BM54" s="1"/>
      <c r="BN54" s="1"/>
    </row>
    <row r="55" spans="2:66" x14ac:dyDescent="0.25">
      <c r="B55" s="2" t="s">
        <v>98</v>
      </c>
      <c r="C55" s="304">
        <v>1</v>
      </c>
      <c r="D55" s="9"/>
      <c r="E55" s="479"/>
      <c r="F55" s="479"/>
      <c r="G55" s="479"/>
      <c r="H55" s="479"/>
      <c r="I55" s="479"/>
      <c r="J55" s="479"/>
      <c r="K55" s="479"/>
      <c r="L55" s="479"/>
      <c r="M55" s="479"/>
      <c r="N55" s="479"/>
      <c r="O55" s="479"/>
      <c r="P55" s="479"/>
      <c r="Y55" s="484"/>
      <c r="BM55" s="1"/>
      <c r="BN55" s="1"/>
    </row>
    <row r="56" spans="2:66" x14ac:dyDescent="0.25">
      <c r="B56" s="2" t="str">
        <f>'Detailed Feasibility Inputs'!B70</f>
        <v>Site Civils &amp; Infrastructure</v>
      </c>
      <c r="C56" s="304">
        <v>8</v>
      </c>
      <c r="D56" s="47">
        <v>20</v>
      </c>
      <c r="E56" s="479"/>
      <c r="F56" s="479"/>
      <c r="G56" s="479"/>
      <c r="H56" s="479"/>
      <c r="I56" s="479"/>
      <c r="J56" s="479"/>
      <c r="K56" s="479"/>
      <c r="L56" s="479"/>
      <c r="M56" s="479"/>
      <c r="N56" s="479"/>
      <c r="O56" s="479"/>
      <c r="P56" s="479"/>
      <c r="Y56" s="484"/>
      <c r="BM56" s="1"/>
      <c r="BN56" s="1"/>
    </row>
    <row r="57" spans="2:66" x14ac:dyDescent="0.25">
      <c r="B57" s="2" t="str">
        <f>'Detailed Feasibility Inputs'!B85</f>
        <v>Professional Fees</v>
      </c>
      <c r="C57" s="304">
        <v>5</v>
      </c>
      <c r="D57" s="47">
        <v>20</v>
      </c>
      <c r="E57" s="479"/>
      <c r="F57" s="479"/>
      <c r="G57" s="479"/>
      <c r="H57" s="479"/>
      <c r="I57" s="479"/>
      <c r="J57" s="479"/>
      <c r="K57" s="479"/>
      <c r="L57" s="479"/>
      <c r="M57" s="479"/>
      <c r="N57" s="479"/>
      <c r="O57" s="479"/>
      <c r="P57" s="479"/>
      <c r="Y57" s="484"/>
      <c r="BM57" s="1"/>
      <c r="BN57" s="1"/>
    </row>
    <row r="58" spans="2:66" x14ac:dyDescent="0.25">
      <c r="B58" s="476" t="str">
        <f>'Detailed Feasibility Inputs'!B99</f>
        <v>Council Costs</v>
      </c>
      <c r="C58" s="327">
        <v>6</v>
      </c>
      <c r="D58" s="328">
        <v>20</v>
      </c>
      <c r="E58" s="479"/>
      <c r="F58" s="479"/>
      <c r="G58" s="479"/>
      <c r="H58" s="479"/>
      <c r="I58" s="479"/>
      <c r="J58" s="479"/>
      <c r="K58" s="479"/>
      <c r="L58" s="479"/>
      <c r="M58" s="479"/>
      <c r="N58" s="479"/>
      <c r="O58" s="479"/>
      <c r="P58" s="479"/>
      <c r="Y58" s="484"/>
      <c r="BM58" s="1"/>
      <c r="BN58" s="1"/>
    </row>
    <row r="59" spans="2:66" x14ac:dyDescent="0.25">
      <c r="B59" s="479"/>
      <c r="C59" s="479"/>
      <c r="D59" s="483"/>
      <c r="E59" s="479"/>
      <c r="F59" s="479"/>
      <c r="G59" s="479"/>
      <c r="H59" s="479"/>
      <c r="I59" s="479"/>
      <c r="J59" s="479"/>
      <c r="K59" s="479"/>
      <c r="L59" s="479"/>
      <c r="M59" s="479"/>
      <c r="N59" s="479"/>
      <c r="O59" s="479"/>
      <c r="P59" s="479"/>
      <c r="Y59" s="484"/>
      <c r="BM59" s="1"/>
      <c r="BN59" s="1"/>
    </row>
    <row r="60" spans="2:66" x14ac:dyDescent="0.25">
      <c r="B60" s="393" t="s">
        <v>308</v>
      </c>
      <c r="C60" s="479"/>
      <c r="D60" s="483"/>
      <c r="E60" s="479"/>
      <c r="F60" s="479"/>
      <c r="G60" s="479"/>
      <c r="H60" s="479"/>
      <c r="I60" s="479"/>
      <c r="J60" s="505"/>
      <c r="K60" s="505"/>
      <c r="L60" s="505"/>
      <c r="M60" s="505"/>
      <c r="N60" s="505"/>
      <c r="O60" s="505"/>
      <c r="P60" s="505"/>
      <c r="Q60" s="48"/>
      <c r="Y60" s="484"/>
      <c r="BM60" s="1"/>
      <c r="BN60" s="1"/>
    </row>
    <row r="61" spans="2:66" x14ac:dyDescent="0.25">
      <c r="B61" s="479"/>
      <c r="C61" s="479"/>
      <c r="D61" s="483"/>
      <c r="E61" s="479"/>
      <c r="F61" s="479"/>
      <c r="G61" s="479"/>
      <c r="H61" s="479"/>
      <c r="I61" s="505"/>
      <c r="J61" s="505"/>
      <c r="K61" s="505"/>
      <c r="L61" s="505"/>
      <c r="M61" s="505"/>
      <c r="N61" s="505"/>
      <c r="O61" s="505"/>
      <c r="P61" s="505"/>
      <c r="Q61" s="48"/>
      <c r="R61" s="48"/>
      <c r="Y61" s="484"/>
      <c r="BM61" s="1"/>
      <c r="BN61" s="1"/>
    </row>
    <row r="62" spans="2:66" x14ac:dyDescent="0.25">
      <c r="B62" s="651" t="s">
        <v>99</v>
      </c>
      <c r="C62" s="652"/>
      <c r="D62" s="651" t="s">
        <v>309</v>
      </c>
      <c r="E62" s="653"/>
      <c r="F62" s="589" t="s">
        <v>354</v>
      </c>
      <c r="G62" s="590"/>
      <c r="H62" s="591"/>
      <c r="I62" s="506"/>
      <c r="J62" s="506"/>
      <c r="K62" s="507" t="s">
        <v>100</v>
      </c>
      <c r="L62" s="507"/>
      <c r="M62" s="507"/>
      <c r="N62" s="507" t="s">
        <v>101</v>
      </c>
      <c r="O62" s="507"/>
      <c r="P62" s="507"/>
      <c r="Q62" s="48"/>
      <c r="R62" s="48"/>
      <c r="S62" s="508"/>
      <c r="T62" s="508"/>
      <c r="U62" s="508"/>
      <c r="V62" s="508"/>
      <c r="Y62" s="484"/>
      <c r="BM62" s="1"/>
      <c r="BN62" s="1"/>
    </row>
    <row r="63" spans="2:66" x14ac:dyDescent="0.25">
      <c r="B63" s="509"/>
      <c r="C63" s="510"/>
      <c r="D63" s="509"/>
      <c r="E63" s="511"/>
      <c r="F63" s="512">
        <f>1/3</f>
        <v>0.33333333333333331</v>
      </c>
      <c r="G63" s="513">
        <f>1/3</f>
        <v>0.33333333333333331</v>
      </c>
      <c r="H63" s="514">
        <f>1/3</f>
        <v>0.33333333333333331</v>
      </c>
      <c r="I63" s="48"/>
      <c r="J63" s="48"/>
      <c r="K63" s="48"/>
      <c r="L63" s="48"/>
      <c r="M63" s="48"/>
      <c r="N63" s="48"/>
      <c r="O63" s="48"/>
      <c r="P63" s="48"/>
      <c r="Q63" s="48"/>
      <c r="R63" s="48"/>
      <c r="S63" s="508"/>
      <c r="T63" s="508"/>
      <c r="U63" s="508"/>
      <c r="V63" s="508"/>
      <c r="Y63" s="484"/>
      <c r="BM63" s="1"/>
      <c r="BN63" s="1"/>
    </row>
    <row r="64" spans="2:66" x14ac:dyDescent="0.25">
      <c r="B64" s="395" t="s">
        <v>102</v>
      </c>
      <c r="C64" s="396" t="s">
        <v>8</v>
      </c>
      <c r="D64" s="403" t="s">
        <v>103</v>
      </c>
      <c r="E64" s="403" t="s">
        <v>104</v>
      </c>
      <c r="F64" s="395" t="s">
        <v>105</v>
      </c>
      <c r="G64" s="403" t="s">
        <v>106</v>
      </c>
      <c r="H64" s="396" t="s">
        <v>353</v>
      </c>
      <c r="I64" s="49" t="s">
        <v>108</v>
      </c>
      <c r="J64" s="48"/>
      <c r="K64" s="49" t="s">
        <v>109</v>
      </c>
      <c r="L64" s="49" t="s">
        <v>110</v>
      </c>
      <c r="M64" s="49" t="s">
        <v>107</v>
      </c>
      <c r="N64" s="49" t="str">
        <f>F64</f>
        <v xml:space="preserve">Construction Start </v>
      </c>
      <c r="O64" s="49" t="str">
        <f>G64</f>
        <v>Lock up Month</v>
      </c>
      <c r="P64" s="49" t="str">
        <f>H64</f>
        <v xml:space="preserve">Code of Compliance </v>
      </c>
      <c r="Q64" s="48" t="s">
        <v>316</v>
      </c>
      <c r="R64" s="48"/>
      <c r="S64" s="508"/>
      <c r="T64" s="508"/>
      <c r="U64" s="508"/>
      <c r="V64" s="508"/>
      <c r="Y64" s="484"/>
      <c r="BM64" s="1"/>
      <c r="BN64" s="1"/>
    </row>
    <row r="65" spans="2:66" x14ac:dyDescent="0.25">
      <c r="B65" s="405" t="str">
        <f>'Detailed Feasibility Inputs'!B16</f>
        <v xml:space="preserve">Lot 1 </v>
      </c>
      <c r="C65" s="455" t="str">
        <f>'Detailed Feasibility Inputs'!C16</f>
        <v>1 Bed</v>
      </c>
      <c r="D65" s="515">
        <f>IF(C65='Detailed Feasibility Inputs'!$B$41,'Detailed Feasibility Inputs'!$I$41,IF('Detailed Feasibility'!C65='Detailed Feasibility Inputs'!$B$42,'Detailed Feasibility Inputs'!$I$42,IF('Detailed Feasibility'!C65='Detailed Feasibility Inputs'!$B$43,'Detailed Feasibility Inputs'!$I$43,IF('Detailed Feasibility'!C65='Detailed Feasibility Inputs'!$B$44,'Detailed Feasibility Inputs'!$I$44,IF('Detailed Feasibility'!C65='Detailed Feasibility Inputs'!$B$45,'Detailed Feasibility Inputs'!$I$45,IF('Detailed Feasibility'!C65='Detailed Feasibility Inputs'!$B$46,'Detailed Feasibility Inputs'!$I$46,0))))))</f>
        <v>240000</v>
      </c>
      <c r="E65" s="407">
        <f>IF(C65='Detailed Feasibility Inputs'!$B$53,'Detailed Feasibility Inputs'!$E$53,IF('Detailed Feasibility'!C65='Detailed Feasibility Inputs'!$B$54,'Detailed Feasibility Inputs'!$E$54,IF('Detailed Feasibility'!C65='Detailed Feasibility Inputs'!$B$55,'Detailed Feasibility Inputs'!$E$55,IF('Detailed Feasibility'!C65='Detailed Feasibility Inputs'!$B$56,'Detailed Feasibility Inputs'!$E$56,IF('Detailed Feasibility'!C65='Detailed Feasibility Inputs'!$B$57,'Detailed Feasibility Inputs'!$E$57,IF('Detailed Feasibility'!C65='Detailed Feasibility Inputs'!$B$58,'Detailed Feasibility Inputs'!$E$58,0))))))</f>
        <v>120000</v>
      </c>
      <c r="F65" s="51">
        <v>14</v>
      </c>
      <c r="G65" s="268">
        <v>17</v>
      </c>
      <c r="H65" s="267">
        <v>18</v>
      </c>
      <c r="I65" s="49">
        <f t="shared" ref="I65:I84" si="0">IF(H65&gt;0,H65+1,0)</f>
        <v>19</v>
      </c>
      <c r="J65" s="48"/>
      <c r="K65" s="419">
        <f t="shared" ref="K65:K84" si="1">IF(C65=$B$93,$G$93,0)+IF(C65=$B$94,$G$94,0)+IF(C65=$B$95,$G$95,0)+IF(C65=$B$96,$G$96,0)+IF(C65=$B$97,$G$97,0)+IF(C65=$B$98,$G$98,0)</f>
        <v>0</v>
      </c>
      <c r="L65" s="419">
        <f t="shared" ref="L65:L84" si="2">IF(C65=$B$93,$I$93,0)+IF(C65=$B$94,$I$94,0)+IF(C65=$B$95,$I$95,0)+IF(C65=$B$96,$I$96,0)+IF(C65=$B$97,$I$97,0)+IF(C65=$B$98,$I$98,0)</f>
        <v>48666.75</v>
      </c>
      <c r="M65" s="419">
        <f t="shared" ref="M65:M84" si="3">IF(C65=$B$93,$J$93,0)+IF(C65=$B$94,$J$94,0)+IF(C65=$B$95,$J$95,0)+IF(C65=$B$96,$J$96,0)+IF(C65=$B$97,$J$97,0)+IF(C65=$B$98,$J$98,0)</f>
        <v>64889</v>
      </c>
      <c r="N65" s="516">
        <f t="shared" ref="N65:N84" si="4">E65*$F$63</f>
        <v>40000</v>
      </c>
      <c r="O65" s="516">
        <f t="shared" ref="O65:O84" si="5">E65*$G$63</f>
        <v>40000</v>
      </c>
      <c r="P65" s="516">
        <f t="shared" ref="P65:P84" si="6">E65*$H$63</f>
        <v>40000</v>
      </c>
      <c r="Q65" s="48">
        <f>IF(C65='Detailed Feasibility Inputs'!$B$41,'Detailed Feasibility Inputs'!$J$41,0)+IF('Detailed Feasibility'!C65='Detailed Feasibility Inputs'!$B$42,'Detailed Feasibility Inputs'!$J$42,0)+IF('Detailed Feasibility'!C65='Detailed Feasibility Inputs'!$B$43,'Detailed Feasibility Inputs'!$J$43,0)+IF('Detailed Feasibility'!C65='Detailed Feasibility Inputs'!$B$44,'Detailed Feasibility Inputs'!$J$44,0)+IF('Detailed Feasibility'!C65='Detailed Feasibility Inputs'!$B$45,'Detailed Feasibility Inputs'!$J$45,0)+IF('Detailed Feasibility'!C65='Detailed Feasibility Inputs'!$B$46,'Detailed Feasibility Inputs'!$J$46,0)</f>
        <v>200000</v>
      </c>
      <c r="R65" s="48"/>
      <c r="S65" s="508"/>
      <c r="T65" s="508"/>
      <c r="U65" s="508"/>
      <c r="V65" s="508"/>
      <c r="Y65" s="484"/>
      <c r="BM65" s="1"/>
      <c r="BN65" s="1"/>
    </row>
    <row r="66" spans="2:66" x14ac:dyDescent="0.25">
      <c r="B66" s="409" t="str">
        <f>'Detailed Feasibility Inputs'!B17</f>
        <v xml:space="preserve">Lot 2 </v>
      </c>
      <c r="C66" s="187" t="str">
        <f>'Detailed Feasibility Inputs'!C17</f>
        <v>2 Bed</v>
      </c>
      <c r="D66" s="517">
        <f>IF(C66='Detailed Feasibility Inputs'!$B$41,'Detailed Feasibility Inputs'!$I$41,IF('Detailed Feasibility'!C66='Detailed Feasibility Inputs'!$B$42,'Detailed Feasibility Inputs'!$I$42,IF('Detailed Feasibility'!C66='Detailed Feasibility Inputs'!$B$43,'Detailed Feasibility Inputs'!$I$43,IF('Detailed Feasibility'!C66='Detailed Feasibility Inputs'!$B$44,'Detailed Feasibility Inputs'!$I$44,IF('Detailed Feasibility'!C66='Detailed Feasibility Inputs'!$B$45,'Detailed Feasibility Inputs'!$I$45,IF('Detailed Feasibility'!C66='Detailed Feasibility Inputs'!$B$46,'Detailed Feasibility Inputs'!$I$46,0))))))</f>
        <v>325000</v>
      </c>
      <c r="E66" s="20">
        <f>IF(C66='Detailed Feasibility Inputs'!$B$53,'Detailed Feasibility Inputs'!$E$53,IF('Detailed Feasibility'!C66='Detailed Feasibility Inputs'!$B$54,'Detailed Feasibility Inputs'!$E$54,IF('Detailed Feasibility'!C66='Detailed Feasibility Inputs'!$B$55,'Detailed Feasibility Inputs'!$E$55,IF('Detailed Feasibility'!C66='Detailed Feasibility Inputs'!$B$56,'Detailed Feasibility Inputs'!$E$56,IF('Detailed Feasibility'!C66='Detailed Feasibility Inputs'!$B$57,'Detailed Feasibility Inputs'!$E$57,IF('Detailed Feasibility'!C66='Detailed Feasibility Inputs'!$B$58,'Detailed Feasibility Inputs'!$E$58,0))))))</f>
        <v>195000</v>
      </c>
      <c r="F66" s="53">
        <v>14</v>
      </c>
      <c r="G66" s="304">
        <v>17</v>
      </c>
      <c r="H66" s="47">
        <v>18</v>
      </c>
      <c r="I66" s="49">
        <f t="shared" si="0"/>
        <v>19</v>
      </c>
      <c r="J66" s="48"/>
      <c r="K66" s="419">
        <f t="shared" si="1"/>
        <v>0</v>
      </c>
      <c r="L66" s="419">
        <f t="shared" si="2"/>
        <v>60310.5</v>
      </c>
      <c r="M66" s="419">
        <f t="shared" si="3"/>
        <v>80414</v>
      </c>
      <c r="N66" s="516">
        <f t="shared" si="4"/>
        <v>65000</v>
      </c>
      <c r="O66" s="516">
        <f t="shared" si="5"/>
        <v>65000</v>
      </c>
      <c r="P66" s="516">
        <f t="shared" si="6"/>
        <v>65000</v>
      </c>
      <c r="Q66" s="48">
        <f>IF(C66='Detailed Feasibility Inputs'!$B$41,'Detailed Feasibility Inputs'!$J$41,0)+IF('Detailed Feasibility'!C66='Detailed Feasibility Inputs'!$B$42,'Detailed Feasibility Inputs'!$J$42,0)+IF('Detailed Feasibility'!C66='Detailed Feasibility Inputs'!$B$43,'Detailed Feasibility Inputs'!$J$43,0)+IF('Detailed Feasibility'!C66='Detailed Feasibility Inputs'!$B$44,'Detailed Feasibility Inputs'!$J$44,0)+IF('Detailed Feasibility'!C66='Detailed Feasibility Inputs'!$B$45,'Detailed Feasibility Inputs'!$J$45,0)+IF('Detailed Feasibility'!C66='Detailed Feasibility Inputs'!$B$46,'Detailed Feasibility Inputs'!$J$46,0)</f>
        <v>220000</v>
      </c>
      <c r="R66" s="48"/>
      <c r="S66" s="508"/>
      <c r="T66" s="508"/>
      <c r="U66" s="508"/>
      <c r="V66" s="508"/>
      <c r="Y66" s="484"/>
      <c r="BM66" s="1"/>
      <c r="BN66" s="1"/>
    </row>
    <row r="67" spans="2:66" x14ac:dyDescent="0.25">
      <c r="B67" s="409" t="str">
        <f>'Detailed Feasibility Inputs'!B18</f>
        <v>Lot 3</v>
      </c>
      <c r="C67" s="187" t="str">
        <f>'Detailed Feasibility Inputs'!C18</f>
        <v>3 Bed</v>
      </c>
      <c r="D67" s="517">
        <f>IF(C67='Detailed Feasibility Inputs'!$B$41,'Detailed Feasibility Inputs'!$I$41,IF('Detailed Feasibility'!C67='Detailed Feasibility Inputs'!$B$42,'Detailed Feasibility Inputs'!$I$42,IF('Detailed Feasibility'!C67='Detailed Feasibility Inputs'!$B$43,'Detailed Feasibility Inputs'!$I$43,IF('Detailed Feasibility'!C67='Detailed Feasibility Inputs'!$B$44,'Detailed Feasibility Inputs'!$I$44,IF('Detailed Feasibility'!C67='Detailed Feasibility Inputs'!$B$45,'Detailed Feasibility Inputs'!$I$45,IF('Detailed Feasibility'!C67='Detailed Feasibility Inputs'!$B$46,'Detailed Feasibility Inputs'!$I$46,0))))))</f>
        <v>360000</v>
      </c>
      <c r="E67" s="20">
        <f>IF(C67='Detailed Feasibility Inputs'!$B$53,'Detailed Feasibility Inputs'!$E$53,IF('Detailed Feasibility'!C67='Detailed Feasibility Inputs'!$B$54,'Detailed Feasibility Inputs'!$E$54,IF('Detailed Feasibility'!C67='Detailed Feasibility Inputs'!$B$55,'Detailed Feasibility Inputs'!$E$55,IF('Detailed Feasibility'!C67='Detailed Feasibility Inputs'!$B$56,'Detailed Feasibility Inputs'!$E$56,IF('Detailed Feasibility'!C67='Detailed Feasibility Inputs'!$B$57,'Detailed Feasibility Inputs'!$E$57,IF('Detailed Feasibility'!C67='Detailed Feasibility Inputs'!$B$58,'Detailed Feasibility Inputs'!$E$58,0))))))</f>
        <v>270000</v>
      </c>
      <c r="F67" s="53">
        <v>14</v>
      </c>
      <c r="G67" s="304">
        <v>17</v>
      </c>
      <c r="H67" s="47">
        <v>18</v>
      </c>
      <c r="I67" s="49">
        <f t="shared" si="0"/>
        <v>19</v>
      </c>
      <c r="J67" s="48"/>
      <c r="K67" s="419">
        <f t="shared" si="1"/>
        <v>0</v>
      </c>
      <c r="L67" s="419">
        <f t="shared" si="2"/>
        <v>71954.25</v>
      </c>
      <c r="M67" s="419">
        <f t="shared" si="3"/>
        <v>95939.000000000015</v>
      </c>
      <c r="N67" s="516">
        <f t="shared" si="4"/>
        <v>90000</v>
      </c>
      <c r="O67" s="516">
        <f t="shared" si="5"/>
        <v>90000</v>
      </c>
      <c r="P67" s="516">
        <f t="shared" si="6"/>
        <v>90000</v>
      </c>
      <c r="Q67" s="48">
        <f>IF(C67='Detailed Feasibility Inputs'!$B$41,'Detailed Feasibility Inputs'!$J$41,0)+IF('Detailed Feasibility'!C67='Detailed Feasibility Inputs'!$B$42,'Detailed Feasibility Inputs'!$J$42,0)+IF('Detailed Feasibility'!C67='Detailed Feasibility Inputs'!$B$43,'Detailed Feasibility Inputs'!$J$43,0)+IF('Detailed Feasibility'!C67='Detailed Feasibility Inputs'!$B$44,'Detailed Feasibility Inputs'!$J$44,0)+IF('Detailed Feasibility'!C67='Detailed Feasibility Inputs'!$B$45,'Detailed Feasibility Inputs'!$J$45,0)+IF('Detailed Feasibility'!C67='Detailed Feasibility Inputs'!$B$46,'Detailed Feasibility Inputs'!$J$46,0)</f>
        <v>240000</v>
      </c>
      <c r="R67" s="48"/>
      <c r="S67" s="508"/>
      <c r="T67" s="508"/>
      <c r="U67" s="508"/>
      <c r="V67" s="508"/>
      <c r="Y67" s="484"/>
      <c r="BM67" s="1"/>
      <c r="BN67" s="1"/>
    </row>
    <row r="68" spans="2:66" x14ac:dyDescent="0.25">
      <c r="B68" s="409" t="str">
        <f>'Detailed Feasibility Inputs'!B19</f>
        <v>Lot 4</v>
      </c>
      <c r="C68" s="187" t="str">
        <f>'Detailed Feasibility Inputs'!C19</f>
        <v>3 Bed</v>
      </c>
      <c r="D68" s="517">
        <f>IF(C68='Detailed Feasibility Inputs'!$B$41,'Detailed Feasibility Inputs'!$I$41,IF('Detailed Feasibility'!C68='Detailed Feasibility Inputs'!$B$42,'Detailed Feasibility Inputs'!$I$42,IF('Detailed Feasibility'!C68='Detailed Feasibility Inputs'!$B$43,'Detailed Feasibility Inputs'!$I$43,IF('Detailed Feasibility'!C68='Detailed Feasibility Inputs'!$B$44,'Detailed Feasibility Inputs'!$I$44,IF('Detailed Feasibility'!C68='Detailed Feasibility Inputs'!$B$45,'Detailed Feasibility Inputs'!$I$45,IF('Detailed Feasibility'!C68='Detailed Feasibility Inputs'!$B$46,'Detailed Feasibility Inputs'!$I$46,0))))))</f>
        <v>360000</v>
      </c>
      <c r="E68" s="20">
        <f>IF(C68='Detailed Feasibility Inputs'!$B$53,'Detailed Feasibility Inputs'!$E$53,IF('Detailed Feasibility'!C68='Detailed Feasibility Inputs'!$B$54,'Detailed Feasibility Inputs'!$E$54,IF('Detailed Feasibility'!C68='Detailed Feasibility Inputs'!$B$55,'Detailed Feasibility Inputs'!$E$55,IF('Detailed Feasibility'!C68='Detailed Feasibility Inputs'!$B$56,'Detailed Feasibility Inputs'!$E$56,IF('Detailed Feasibility'!C68='Detailed Feasibility Inputs'!$B$57,'Detailed Feasibility Inputs'!$E$57,IF('Detailed Feasibility'!C68='Detailed Feasibility Inputs'!$B$58,'Detailed Feasibility Inputs'!$E$58,0))))))</f>
        <v>270000</v>
      </c>
      <c r="F68" s="53">
        <v>14</v>
      </c>
      <c r="G68" s="304">
        <v>17</v>
      </c>
      <c r="H68" s="47">
        <v>18</v>
      </c>
      <c r="I68" s="49">
        <f t="shared" si="0"/>
        <v>19</v>
      </c>
      <c r="J68" s="48"/>
      <c r="K68" s="419">
        <f t="shared" si="1"/>
        <v>0</v>
      </c>
      <c r="L68" s="419">
        <f t="shared" si="2"/>
        <v>71954.25</v>
      </c>
      <c r="M68" s="419">
        <f t="shared" si="3"/>
        <v>95939.000000000015</v>
      </c>
      <c r="N68" s="516">
        <f t="shared" si="4"/>
        <v>90000</v>
      </c>
      <c r="O68" s="516">
        <f t="shared" si="5"/>
        <v>90000</v>
      </c>
      <c r="P68" s="516">
        <f t="shared" si="6"/>
        <v>90000</v>
      </c>
      <c r="Q68" s="48">
        <f>IF(C68='Detailed Feasibility Inputs'!$B$41,'Detailed Feasibility Inputs'!$J$41,0)+IF('Detailed Feasibility'!C68='Detailed Feasibility Inputs'!$B$42,'Detailed Feasibility Inputs'!$J$42,0)+IF('Detailed Feasibility'!C68='Detailed Feasibility Inputs'!$B$43,'Detailed Feasibility Inputs'!$J$43,0)+IF('Detailed Feasibility'!C68='Detailed Feasibility Inputs'!$B$44,'Detailed Feasibility Inputs'!$J$44,0)+IF('Detailed Feasibility'!C68='Detailed Feasibility Inputs'!$B$45,'Detailed Feasibility Inputs'!$J$45,0)+IF('Detailed Feasibility'!C68='Detailed Feasibility Inputs'!$B$46,'Detailed Feasibility Inputs'!$J$46,0)</f>
        <v>240000</v>
      </c>
      <c r="R68" s="48"/>
      <c r="S68" s="508"/>
      <c r="T68" s="508"/>
      <c r="U68" s="508"/>
      <c r="V68" s="508"/>
      <c r="Y68" s="484"/>
      <c r="BM68" s="1"/>
      <c r="BN68" s="1"/>
    </row>
    <row r="69" spans="2:66" x14ac:dyDescent="0.25">
      <c r="B69" s="409" t="str">
        <f>'Detailed Feasibility Inputs'!B20</f>
        <v xml:space="preserve">Lot 5 </v>
      </c>
      <c r="C69" s="187" t="str">
        <f>'Detailed Feasibility Inputs'!C20</f>
        <v>4 Bed</v>
      </c>
      <c r="D69" s="517">
        <f>IF(C69='Detailed Feasibility Inputs'!$B$41,'Detailed Feasibility Inputs'!$I$41,IF('Detailed Feasibility'!C69='Detailed Feasibility Inputs'!$B$42,'Detailed Feasibility Inputs'!$I$42,IF('Detailed Feasibility'!C69='Detailed Feasibility Inputs'!$B$43,'Detailed Feasibility Inputs'!$I$43,IF('Detailed Feasibility'!C69='Detailed Feasibility Inputs'!$B$44,'Detailed Feasibility Inputs'!$I$44,IF('Detailed Feasibility'!C69='Detailed Feasibility Inputs'!$B$45,'Detailed Feasibility Inputs'!$I$45,IF('Detailed Feasibility'!C69='Detailed Feasibility Inputs'!$B$46,'Detailed Feasibility Inputs'!$I$46,0))))))</f>
        <v>420000</v>
      </c>
      <c r="E69" s="20">
        <f>IF(C69='Detailed Feasibility Inputs'!$B$53,'Detailed Feasibility Inputs'!$E$53,IF('Detailed Feasibility'!C69='Detailed Feasibility Inputs'!$B$54,'Detailed Feasibility Inputs'!$E$54,IF('Detailed Feasibility'!C69='Detailed Feasibility Inputs'!$B$55,'Detailed Feasibility Inputs'!$E$55,IF('Detailed Feasibility'!C69='Detailed Feasibility Inputs'!$B$56,'Detailed Feasibility Inputs'!$E$56,IF('Detailed Feasibility'!C69='Detailed Feasibility Inputs'!$B$57,'Detailed Feasibility Inputs'!$E$57,IF('Detailed Feasibility'!C69='Detailed Feasibility Inputs'!$B$58,'Detailed Feasibility Inputs'!$E$58,0))))))</f>
        <v>360000</v>
      </c>
      <c r="F69" s="53">
        <v>14</v>
      </c>
      <c r="G69" s="304">
        <v>17</v>
      </c>
      <c r="H69" s="47">
        <v>18</v>
      </c>
      <c r="I69" s="49">
        <f t="shared" si="0"/>
        <v>19</v>
      </c>
      <c r="J69" s="48"/>
      <c r="K69" s="419">
        <f t="shared" si="1"/>
        <v>0</v>
      </c>
      <c r="L69" s="419">
        <f t="shared" si="2"/>
        <v>85926.750000000015</v>
      </c>
      <c r="M69" s="419">
        <f t="shared" si="3"/>
        <v>114569.00000000003</v>
      </c>
      <c r="N69" s="516">
        <f t="shared" si="4"/>
        <v>120000</v>
      </c>
      <c r="O69" s="516">
        <f t="shared" si="5"/>
        <v>120000</v>
      </c>
      <c r="P69" s="516">
        <f t="shared" si="6"/>
        <v>120000</v>
      </c>
      <c r="Q69" s="48">
        <f>IF(C69='Detailed Feasibility Inputs'!$B$41,'Detailed Feasibility Inputs'!$J$41,0)+IF('Detailed Feasibility'!C69='Detailed Feasibility Inputs'!$B$42,'Detailed Feasibility Inputs'!$J$42,0)+IF('Detailed Feasibility'!C69='Detailed Feasibility Inputs'!$B$43,'Detailed Feasibility Inputs'!$J$43,0)+IF('Detailed Feasibility'!C69='Detailed Feasibility Inputs'!$B$44,'Detailed Feasibility Inputs'!$J$44,0)+IF('Detailed Feasibility'!C69='Detailed Feasibility Inputs'!$B$45,'Detailed Feasibility Inputs'!$J$45,0)+IF('Detailed Feasibility'!C69='Detailed Feasibility Inputs'!$B$46,'Detailed Feasibility Inputs'!$J$46,0)</f>
        <v>280000</v>
      </c>
      <c r="R69" s="48"/>
      <c r="S69" s="508"/>
      <c r="T69" s="508"/>
      <c r="U69" s="508"/>
      <c r="V69" s="508"/>
      <c r="AK69" s="518"/>
      <c r="AL69" s="460"/>
      <c r="AN69" s="461"/>
      <c r="AO69" s="276"/>
      <c r="BM69" s="1"/>
      <c r="BN69" s="1"/>
    </row>
    <row r="70" spans="2:66" x14ac:dyDescent="0.25">
      <c r="B70" s="409" t="str">
        <f>'Detailed Feasibility Inputs'!B21</f>
        <v xml:space="preserve">Lot 6 </v>
      </c>
      <c r="C70" s="187" t="str">
        <f>'Detailed Feasibility Inputs'!C21</f>
        <v>1 Bed</v>
      </c>
      <c r="D70" s="517">
        <f>IF(C70='Detailed Feasibility Inputs'!$B$41,'Detailed Feasibility Inputs'!$I$41,IF('Detailed Feasibility'!C70='Detailed Feasibility Inputs'!$B$42,'Detailed Feasibility Inputs'!$I$42,IF('Detailed Feasibility'!C70='Detailed Feasibility Inputs'!$B$43,'Detailed Feasibility Inputs'!$I$43,IF('Detailed Feasibility'!C70='Detailed Feasibility Inputs'!$B$44,'Detailed Feasibility Inputs'!$I$44,IF('Detailed Feasibility'!C70='Detailed Feasibility Inputs'!$B$45,'Detailed Feasibility Inputs'!$I$45,IF('Detailed Feasibility'!C70='Detailed Feasibility Inputs'!$B$46,'Detailed Feasibility Inputs'!$I$46,0))))))</f>
        <v>240000</v>
      </c>
      <c r="E70" s="20">
        <f>IF(C70='Detailed Feasibility Inputs'!$B$53,'Detailed Feasibility Inputs'!$E$53,IF('Detailed Feasibility'!C70='Detailed Feasibility Inputs'!$B$54,'Detailed Feasibility Inputs'!$E$54,IF('Detailed Feasibility'!C70='Detailed Feasibility Inputs'!$B$55,'Detailed Feasibility Inputs'!$E$55,IF('Detailed Feasibility'!C70='Detailed Feasibility Inputs'!$B$56,'Detailed Feasibility Inputs'!$E$56,IF('Detailed Feasibility'!C70='Detailed Feasibility Inputs'!$B$57,'Detailed Feasibility Inputs'!$E$57,IF('Detailed Feasibility'!C70='Detailed Feasibility Inputs'!$B$58,'Detailed Feasibility Inputs'!$E$58,0))))))</f>
        <v>120000</v>
      </c>
      <c r="F70" s="53">
        <v>14</v>
      </c>
      <c r="G70" s="304">
        <v>17</v>
      </c>
      <c r="H70" s="47">
        <v>18</v>
      </c>
      <c r="I70" s="49">
        <f t="shared" si="0"/>
        <v>19</v>
      </c>
      <c r="J70" s="48"/>
      <c r="K70" s="419">
        <f t="shared" si="1"/>
        <v>0</v>
      </c>
      <c r="L70" s="419">
        <f t="shared" si="2"/>
        <v>48666.75</v>
      </c>
      <c r="M70" s="419">
        <f t="shared" si="3"/>
        <v>64889</v>
      </c>
      <c r="N70" s="516">
        <f t="shared" si="4"/>
        <v>40000</v>
      </c>
      <c r="O70" s="516">
        <f t="shared" si="5"/>
        <v>40000</v>
      </c>
      <c r="P70" s="516">
        <f t="shared" si="6"/>
        <v>40000</v>
      </c>
      <c r="Q70" s="48">
        <f>IF(C70='Detailed Feasibility Inputs'!$B$41,'Detailed Feasibility Inputs'!$J$41,0)+IF('Detailed Feasibility'!C70='Detailed Feasibility Inputs'!$B$42,'Detailed Feasibility Inputs'!$J$42,0)+IF('Detailed Feasibility'!C70='Detailed Feasibility Inputs'!$B$43,'Detailed Feasibility Inputs'!$J$43,0)+IF('Detailed Feasibility'!C70='Detailed Feasibility Inputs'!$B$44,'Detailed Feasibility Inputs'!$J$44,0)+IF('Detailed Feasibility'!C70='Detailed Feasibility Inputs'!$B$45,'Detailed Feasibility Inputs'!$J$45,0)+IF('Detailed Feasibility'!C70='Detailed Feasibility Inputs'!$B$46,'Detailed Feasibility Inputs'!$J$46,0)</f>
        <v>200000</v>
      </c>
      <c r="R70" s="48"/>
      <c r="S70" s="508"/>
      <c r="T70" s="508"/>
      <c r="U70" s="508"/>
      <c r="V70" s="508"/>
      <c r="AK70" s="518"/>
      <c r="AL70" s="460"/>
      <c r="AN70" s="461"/>
      <c r="AO70" s="276"/>
      <c r="BM70" s="1"/>
      <c r="BN70" s="1"/>
    </row>
    <row r="71" spans="2:66" x14ac:dyDescent="0.25">
      <c r="B71" s="409" t="str">
        <f>'Detailed Feasibility Inputs'!B22</f>
        <v xml:space="preserve">Lot 7 </v>
      </c>
      <c r="C71" s="187" t="str">
        <f>'Detailed Feasibility Inputs'!C22</f>
        <v>1 Bed</v>
      </c>
      <c r="D71" s="517">
        <f>IF(C71='Detailed Feasibility Inputs'!$B$41,'Detailed Feasibility Inputs'!$I$41,IF('Detailed Feasibility'!C71='Detailed Feasibility Inputs'!$B$42,'Detailed Feasibility Inputs'!$I$42,IF('Detailed Feasibility'!C71='Detailed Feasibility Inputs'!$B$43,'Detailed Feasibility Inputs'!$I$43,IF('Detailed Feasibility'!C71='Detailed Feasibility Inputs'!$B$44,'Detailed Feasibility Inputs'!$I$44,IF('Detailed Feasibility'!C71='Detailed Feasibility Inputs'!$B$45,'Detailed Feasibility Inputs'!$I$45,IF('Detailed Feasibility'!C71='Detailed Feasibility Inputs'!$B$46,'Detailed Feasibility Inputs'!$I$46,0))))))</f>
        <v>240000</v>
      </c>
      <c r="E71" s="20">
        <f>IF(C71='Detailed Feasibility Inputs'!$B$53,'Detailed Feasibility Inputs'!$E$53,IF('Detailed Feasibility'!C71='Detailed Feasibility Inputs'!$B$54,'Detailed Feasibility Inputs'!$E$54,IF('Detailed Feasibility'!C71='Detailed Feasibility Inputs'!$B$55,'Detailed Feasibility Inputs'!$E$55,IF('Detailed Feasibility'!C71='Detailed Feasibility Inputs'!$B$56,'Detailed Feasibility Inputs'!$E$56,IF('Detailed Feasibility'!C71='Detailed Feasibility Inputs'!$B$57,'Detailed Feasibility Inputs'!$E$57,IF('Detailed Feasibility'!C71='Detailed Feasibility Inputs'!$B$58,'Detailed Feasibility Inputs'!$E$58,0))))))</f>
        <v>120000</v>
      </c>
      <c r="F71" s="53">
        <v>14</v>
      </c>
      <c r="G71" s="304">
        <v>17</v>
      </c>
      <c r="H71" s="47">
        <v>18</v>
      </c>
      <c r="I71" s="49">
        <f t="shared" si="0"/>
        <v>19</v>
      </c>
      <c r="J71" s="48"/>
      <c r="K71" s="419">
        <f t="shared" si="1"/>
        <v>0</v>
      </c>
      <c r="L71" s="419">
        <f t="shared" si="2"/>
        <v>48666.75</v>
      </c>
      <c r="M71" s="419">
        <f t="shared" si="3"/>
        <v>64889</v>
      </c>
      <c r="N71" s="516">
        <f t="shared" si="4"/>
        <v>40000</v>
      </c>
      <c r="O71" s="516">
        <f t="shared" si="5"/>
        <v>40000</v>
      </c>
      <c r="P71" s="516">
        <f t="shared" si="6"/>
        <v>40000</v>
      </c>
      <c r="Q71" s="48">
        <f>IF(C71='Detailed Feasibility Inputs'!$B$41,'Detailed Feasibility Inputs'!$J$41,0)+IF('Detailed Feasibility'!C71='Detailed Feasibility Inputs'!$B$42,'Detailed Feasibility Inputs'!$J$42,0)+IF('Detailed Feasibility'!C71='Detailed Feasibility Inputs'!$B$43,'Detailed Feasibility Inputs'!$J$43,0)+IF('Detailed Feasibility'!C71='Detailed Feasibility Inputs'!$B$44,'Detailed Feasibility Inputs'!$J$44,0)+IF('Detailed Feasibility'!C71='Detailed Feasibility Inputs'!$B$45,'Detailed Feasibility Inputs'!$J$45,0)+IF('Detailed Feasibility'!C71='Detailed Feasibility Inputs'!$B$46,'Detailed Feasibility Inputs'!$J$46,0)</f>
        <v>200000</v>
      </c>
      <c r="R71" s="48"/>
      <c r="S71" s="508"/>
      <c r="T71" s="508"/>
      <c r="U71" s="508"/>
      <c r="V71" s="508"/>
      <c r="AK71" s="518"/>
      <c r="AL71" s="460"/>
      <c r="AN71" s="461"/>
      <c r="AO71" s="276"/>
      <c r="BM71" s="1"/>
      <c r="BN71" s="1"/>
    </row>
    <row r="72" spans="2:66" x14ac:dyDescent="0.25">
      <c r="B72" s="409" t="str">
        <f>'Detailed Feasibility Inputs'!B23</f>
        <v xml:space="preserve">Lot 8 </v>
      </c>
      <c r="C72" s="187" t="str">
        <f>'Detailed Feasibility Inputs'!C23</f>
        <v>2 Bed</v>
      </c>
      <c r="D72" s="517">
        <f>IF(C72='Detailed Feasibility Inputs'!$B$41,'Detailed Feasibility Inputs'!$I$41,IF('Detailed Feasibility'!C72='Detailed Feasibility Inputs'!$B$42,'Detailed Feasibility Inputs'!$I$42,IF('Detailed Feasibility'!C72='Detailed Feasibility Inputs'!$B$43,'Detailed Feasibility Inputs'!$I$43,IF('Detailed Feasibility'!C72='Detailed Feasibility Inputs'!$B$44,'Detailed Feasibility Inputs'!$I$44,IF('Detailed Feasibility'!C72='Detailed Feasibility Inputs'!$B$45,'Detailed Feasibility Inputs'!$I$45,IF('Detailed Feasibility'!C72='Detailed Feasibility Inputs'!$B$46,'Detailed Feasibility Inputs'!$I$46,0))))))</f>
        <v>325000</v>
      </c>
      <c r="E72" s="20">
        <f>IF(C72='Detailed Feasibility Inputs'!$B$53,'Detailed Feasibility Inputs'!$E$53,IF('Detailed Feasibility'!C72='Detailed Feasibility Inputs'!$B$54,'Detailed Feasibility Inputs'!$E$54,IF('Detailed Feasibility'!C72='Detailed Feasibility Inputs'!$B$55,'Detailed Feasibility Inputs'!$E$55,IF('Detailed Feasibility'!C72='Detailed Feasibility Inputs'!$B$56,'Detailed Feasibility Inputs'!$E$56,IF('Detailed Feasibility'!C72='Detailed Feasibility Inputs'!$B$57,'Detailed Feasibility Inputs'!$E$57,IF('Detailed Feasibility'!C72='Detailed Feasibility Inputs'!$B$58,'Detailed Feasibility Inputs'!$E$58,0))))))</f>
        <v>195000</v>
      </c>
      <c r="F72" s="53">
        <v>21</v>
      </c>
      <c r="G72" s="304">
        <v>24</v>
      </c>
      <c r="H72" s="47">
        <v>25</v>
      </c>
      <c r="I72" s="49">
        <f t="shared" si="0"/>
        <v>26</v>
      </c>
      <c r="J72" s="48"/>
      <c r="K72" s="419">
        <f t="shared" si="1"/>
        <v>0</v>
      </c>
      <c r="L72" s="419">
        <f t="shared" si="2"/>
        <v>60310.5</v>
      </c>
      <c r="M72" s="419">
        <f t="shared" si="3"/>
        <v>80414</v>
      </c>
      <c r="N72" s="516">
        <f t="shared" si="4"/>
        <v>65000</v>
      </c>
      <c r="O72" s="516">
        <f t="shared" si="5"/>
        <v>65000</v>
      </c>
      <c r="P72" s="516">
        <f t="shared" si="6"/>
        <v>65000</v>
      </c>
      <c r="Q72" s="48">
        <f>IF(C72='Detailed Feasibility Inputs'!$B$41,'Detailed Feasibility Inputs'!$J$41,0)+IF('Detailed Feasibility'!C72='Detailed Feasibility Inputs'!$B$42,'Detailed Feasibility Inputs'!$J$42,0)+IF('Detailed Feasibility'!C72='Detailed Feasibility Inputs'!$B$43,'Detailed Feasibility Inputs'!$J$43,0)+IF('Detailed Feasibility'!C72='Detailed Feasibility Inputs'!$B$44,'Detailed Feasibility Inputs'!$J$44,0)+IF('Detailed Feasibility'!C72='Detailed Feasibility Inputs'!$B$45,'Detailed Feasibility Inputs'!$J$45,0)+IF('Detailed Feasibility'!C72='Detailed Feasibility Inputs'!$B$46,'Detailed Feasibility Inputs'!$J$46,0)</f>
        <v>220000</v>
      </c>
      <c r="R72" s="48"/>
      <c r="S72" s="508"/>
      <c r="T72" s="508"/>
      <c r="U72" s="508"/>
      <c r="V72" s="508"/>
      <c r="AK72" s="518"/>
      <c r="AL72" s="460"/>
      <c r="AN72" s="461"/>
      <c r="AO72" s="276"/>
      <c r="BM72" s="1"/>
      <c r="BN72" s="1"/>
    </row>
    <row r="73" spans="2:66" x14ac:dyDescent="0.25">
      <c r="B73" s="409" t="str">
        <f>'Detailed Feasibility Inputs'!B24</f>
        <v xml:space="preserve">Lot 9 </v>
      </c>
      <c r="C73" s="187" t="str">
        <f>'Detailed Feasibility Inputs'!C24</f>
        <v>2 Bed</v>
      </c>
      <c r="D73" s="517">
        <f>IF(C73='Detailed Feasibility Inputs'!$B$41,'Detailed Feasibility Inputs'!$I$41,IF('Detailed Feasibility'!C73='Detailed Feasibility Inputs'!$B$42,'Detailed Feasibility Inputs'!$I$42,IF('Detailed Feasibility'!C73='Detailed Feasibility Inputs'!$B$43,'Detailed Feasibility Inputs'!$I$43,IF('Detailed Feasibility'!C73='Detailed Feasibility Inputs'!$B$44,'Detailed Feasibility Inputs'!$I$44,IF('Detailed Feasibility'!C73='Detailed Feasibility Inputs'!$B$45,'Detailed Feasibility Inputs'!$I$45,IF('Detailed Feasibility'!C73='Detailed Feasibility Inputs'!$B$46,'Detailed Feasibility Inputs'!$I$46,0))))))</f>
        <v>325000</v>
      </c>
      <c r="E73" s="20">
        <f>IF(C73='Detailed Feasibility Inputs'!$B$53,'Detailed Feasibility Inputs'!$E$53,IF('Detailed Feasibility'!C73='Detailed Feasibility Inputs'!$B$54,'Detailed Feasibility Inputs'!$E$54,IF('Detailed Feasibility'!C73='Detailed Feasibility Inputs'!$B$55,'Detailed Feasibility Inputs'!$E$55,IF('Detailed Feasibility'!C73='Detailed Feasibility Inputs'!$B$56,'Detailed Feasibility Inputs'!$E$56,IF('Detailed Feasibility'!C73='Detailed Feasibility Inputs'!$B$57,'Detailed Feasibility Inputs'!$E$57,IF('Detailed Feasibility'!C73='Detailed Feasibility Inputs'!$B$58,'Detailed Feasibility Inputs'!$E$58,0))))))</f>
        <v>195000</v>
      </c>
      <c r="F73" s="53">
        <v>21</v>
      </c>
      <c r="G73" s="304">
        <v>24</v>
      </c>
      <c r="H73" s="47">
        <v>25</v>
      </c>
      <c r="I73" s="49">
        <f t="shared" si="0"/>
        <v>26</v>
      </c>
      <c r="J73" s="48"/>
      <c r="K73" s="419">
        <f t="shared" si="1"/>
        <v>0</v>
      </c>
      <c r="L73" s="419">
        <f t="shared" si="2"/>
        <v>60310.5</v>
      </c>
      <c r="M73" s="419">
        <f t="shared" si="3"/>
        <v>80414</v>
      </c>
      <c r="N73" s="516">
        <f t="shared" si="4"/>
        <v>65000</v>
      </c>
      <c r="O73" s="516">
        <f t="shared" si="5"/>
        <v>65000</v>
      </c>
      <c r="P73" s="516">
        <f t="shared" si="6"/>
        <v>65000</v>
      </c>
      <c r="Q73" s="48">
        <f>IF(C73='Detailed Feasibility Inputs'!$B$41,'Detailed Feasibility Inputs'!$J$41,0)+IF('Detailed Feasibility'!C73='Detailed Feasibility Inputs'!$B$42,'Detailed Feasibility Inputs'!$J$42,0)+IF('Detailed Feasibility'!C73='Detailed Feasibility Inputs'!$B$43,'Detailed Feasibility Inputs'!$J$43,0)+IF('Detailed Feasibility'!C73='Detailed Feasibility Inputs'!$B$44,'Detailed Feasibility Inputs'!$J$44,0)+IF('Detailed Feasibility'!C73='Detailed Feasibility Inputs'!$B$45,'Detailed Feasibility Inputs'!$J$45,0)+IF('Detailed Feasibility'!C73='Detailed Feasibility Inputs'!$B$46,'Detailed Feasibility Inputs'!$J$46,0)</f>
        <v>220000</v>
      </c>
      <c r="R73" s="48"/>
      <c r="S73" s="508"/>
      <c r="T73" s="508"/>
      <c r="U73" s="508"/>
      <c r="V73" s="508"/>
      <c r="AK73" s="518"/>
      <c r="AL73" s="460"/>
      <c r="AN73" s="461"/>
      <c r="AO73" s="276"/>
      <c r="BM73" s="1"/>
      <c r="BN73" s="1"/>
    </row>
    <row r="74" spans="2:66" x14ac:dyDescent="0.25">
      <c r="B74" s="409" t="str">
        <f>'Detailed Feasibility Inputs'!B25</f>
        <v xml:space="preserve">Lot 10 </v>
      </c>
      <c r="C74" s="187" t="str">
        <f>'Detailed Feasibility Inputs'!C25</f>
        <v>2 Bed</v>
      </c>
      <c r="D74" s="517">
        <f>IF(C74='Detailed Feasibility Inputs'!$B$41,'Detailed Feasibility Inputs'!$I$41,IF('Detailed Feasibility'!C74='Detailed Feasibility Inputs'!$B$42,'Detailed Feasibility Inputs'!$I$42,IF('Detailed Feasibility'!C74='Detailed Feasibility Inputs'!$B$43,'Detailed Feasibility Inputs'!$I$43,IF('Detailed Feasibility'!C74='Detailed Feasibility Inputs'!$B$44,'Detailed Feasibility Inputs'!$I$44,IF('Detailed Feasibility'!C74='Detailed Feasibility Inputs'!$B$45,'Detailed Feasibility Inputs'!$I$45,IF('Detailed Feasibility'!C74='Detailed Feasibility Inputs'!$B$46,'Detailed Feasibility Inputs'!$I$46,0))))))</f>
        <v>325000</v>
      </c>
      <c r="E74" s="20">
        <f>IF(C74='Detailed Feasibility Inputs'!$B$53,'Detailed Feasibility Inputs'!$E$53,IF('Detailed Feasibility'!C74='Detailed Feasibility Inputs'!$B$54,'Detailed Feasibility Inputs'!$E$54,IF('Detailed Feasibility'!C74='Detailed Feasibility Inputs'!$B$55,'Detailed Feasibility Inputs'!$E$55,IF('Detailed Feasibility'!C74='Detailed Feasibility Inputs'!$B$56,'Detailed Feasibility Inputs'!$E$56,IF('Detailed Feasibility'!C74='Detailed Feasibility Inputs'!$B$57,'Detailed Feasibility Inputs'!$E$57,IF('Detailed Feasibility'!C74='Detailed Feasibility Inputs'!$B$58,'Detailed Feasibility Inputs'!$E$58,0))))))</f>
        <v>195000</v>
      </c>
      <c r="F74" s="53">
        <v>21</v>
      </c>
      <c r="G74" s="304">
        <v>24</v>
      </c>
      <c r="H74" s="47">
        <v>25</v>
      </c>
      <c r="I74" s="49">
        <f t="shared" si="0"/>
        <v>26</v>
      </c>
      <c r="J74" s="48"/>
      <c r="K74" s="419">
        <f t="shared" si="1"/>
        <v>0</v>
      </c>
      <c r="L74" s="419">
        <f t="shared" si="2"/>
        <v>60310.5</v>
      </c>
      <c r="M74" s="419">
        <f t="shared" si="3"/>
        <v>80414</v>
      </c>
      <c r="N74" s="516">
        <f t="shared" si="4"/>
        <v>65000</v>
      </c>
      <c r="O74" s="516">
        <f t="shared" si="5"/>
        <v>65000</v>
      </c>
      <c r="P74" s="516">
        <f t="shared" si="6"/>
        <v>65000</v>
      </c>
      <c r="Q74" s="48">
        <f>IF(C74='Detailed Feasibility Inputs'!$B$41,'Detailed Feasibility Inputs'!$J$41,0)+IF('Detailed Feasibility'!C74='Detailed Feasibility Inputs'!$B$42,'Detailed Feasibility Inputs'!$J$42,0)+IF('Detailed Feasibility'!C74='Detailed Feasibility Inputs'!$B$43,'Detailed Feasibility Inputs'!$J$43,0)+IF('Detailed Feasibility'!C74='Detailed Feasibility Inputs'!$B$44,'Detailed Feasibility Inputs'!$J$44,0)+IF('Detailed Feasibility'!C74='Detailed Feasibility Inputs'!$B$45,'Detailed Feasibility Inputs'!$J$45,0)+IF('Detailed Feasibility'!C74='Detailed Feasibility Inputs'!$B$46,'Detailed Feasibility Inputs'!$J$46,0)</f>
        <v>220000</v>
      </c>
      <c r="R74" s="48"/>
      <c r="S74" s="508"/>
      <c r="T74" s="508"/>
      <c r="U74" s="508"/>
      <c r="V74" s="508"/>
      <c r="AK74" s="518"/>
      <c r="AL74" s="460"/>
      <c r="AN74" s="461"/>
      <c r="AO74" s="276"/>
      <c r="BM74" s="1"/>
      <c r="BN74" s="1"/>
    </row>
    <row r="75" spans="2:66" x14ac:dyDescent="0.25">
      <c r="B75" s="409" t="str">
        <f>'Detailed Feasibility Inputs'!B26</f>
        <v>Lot 11</v>
      </c>
      <c r="C75" s="187" t="str">
        <f>'Detailed Feasibility Inputs'!C26</f>
        <v>2 Bed</v>
      </c>
      <c r="D75" s="517">
        <f>IF(C75='Detailed Feasibility Inputs'!$B$41,'Detailed Feasibility Inputs'!$I$41,IF('Detailed Feasibility'!C75='Detailed Feasibility Inputs'!$B$42,'Detailed Feasibility Inputs'!$I$42,IF('Detailed Feasibility'!C75='Detailed Feasibility Inputs'!$B$43,'Detailed Feasibility Inputs'!$I$43,IF('Detailed Feasibility'!C75='Detailed Feasibility Inputs'!$B$44,'Detailed Feasibility Inputs'!$I$44,IF('Detailed Feasibility'!C75='Detailed Feasibility Inputs'!$B$45,'Detailed Feasibility Inputs'!$I$45,IF('Detailed Feasibility'!C75='Detailed Feasibility Inputs'!$B$46,'Detailed Feasibility Inputs'!$I$46,0))))))</f>
        <v>325000</v>
      </c>
      <c r="E75" s="20">
        <f>IF(C75='Detailed Feasibility Inputs'!$B$53,'Detailed Feasibility Inputs'!$E$53,IF('Detailed Feasibility'!C75='Detailed Feasibility Inputs'!$B$54,'Detailed Feasibility Inputs'!$E$54,IF('Detailed Feasibility'!C75='Detailed Feasibility Inputs'!$B$55,'Detailed Feasibility Inputs'!$E$55,IF('Detailed Feasibility'!C75='Detailed Feasibility Inputs'!$B$56,'Detailed Feasibility Inputs'!$E$56,IF('Detailed Feasibility'!C75='Detailed Feasibility Inputs'!$B$57,'Detailed Feasibility Inputs'!$E$57,IF('Detailed Feasibility'!C75='Detailed Feasibility Inputs'!$B$58,'Detailed Feasibility Inputs'!$E$58,0))))))</f>
        <v>195000</v>
      </c>
      <c r="F75" s="53">
        <v>21</v>
      </c>
      <c r="G75" s="304">
        <v>24</v>
      </c>
      <c r="H75" s="47">
        <v>25</v>
      </c>
      <c r="I75" s="49">
        <f t="shared" si="0"/>
        <v>26</v>
      </c>
      <c r="J75" s="48"/>
      <c r="K75" s="419">
        <f t="shared" si="1"/>
        <v>0</v>
      </c>
      <c r="L75" s="419">
        <f t="shared" si="2"/>
        <v>60310.5</v>
      </c>
      <c r="M75" s="419">
        <f t="shared" si="3"/>
        <v>80414</v>
      </c>
      <c r="N75" s="516">
        <f t="shared" si="4"/>
        <v>65000</v>
      </c>
      <c r="O75" s="516">
        <f t="shared" si="5"/>
        <v>65000</v>
      </c>
      <c r="P75" s="516">
        <f t="shared" si="6"/>
        <v>65000</v>
      </c>
      <c r="Q75" s="48">
        <f>IF(C75='Detailed Feasibility Inputs'!$B$41,'Detailed Feasibility Inputs'!$J$41,0)+IF('Detailed Feasibility'!C75='Detailed Feasibility Inputs'!$B$42,'Detailed Feasibility Inputs'!$J$42,0)+IF('Detailed Feasibility'!C75='Detailed Feasibility Inputs'!$B$43,'Detailed Feasibility Inputs'!$J$43,0)+IF('Detailed Feasibility'!C75='Detailed Feasibility Inputs'!$B$44,'Detailed Feasibility Inputs'!$J$44,0)+IF('Detailed Feasibility'!C75='Detailed Feasibility Inputs'!$B$45,'Detailed Feasibility Inputs'!$J$45,0)+IF('Detailed Feasibility'!C75='Detailed Feasibility Inputs'!$B$46,'Detailed Feasibility Inputs'!$J$46,0)</f>
        <v>220000</v>
      </c>
      <c r="R75" s="48"/>
      <c r="S75" s="508"/>
      <c r="T75" s="508"/>
      <c r="U75" s="508"/>
      <c r="V75" s="508"/>
      <c r="AK75" s="518"/>
      <c r="AL75" s="460"/>
      <c r="AN75" s="461"/>
      <c r="AO75" s="276"/>
      <c r="BM75" s="1"/>
      <c r="BN75" s="1"/>
    </row>
    <row r="76" spans="2:66" x14ac:dyDescent="0.25">
      <c r="B76" s="409" t="str">
        <f>'Detailed Feasibility Inputs'!B27</f>
        <v>Lot 12</v>
      </c>
      <c r="C76" s="187" t="str">
        <f>'Detailed Feasibility Inputs'!C27</f>
        <v>3 Bed</v>
      </c>
      <c r="D76" s="517">
        <f>IF(C76='Detailed Feasibility Inputs'!$B$41,'Detailed Feasibility Inputs'!$I$41,IF('Detailed Feasibility'!C76='Detailed Feasibility Inputs'!$B$42,'Detailed Feasibility Inputs'!$I$42,IF('Detailed Feasibility'!C76='Detailed Feasibility Inputs'!$B$43,'Detailed Feasibility Inputs'!$I$43,IF('Detailed Feasibility'!C76='Detailed Feasibility Inputs'!$B$44,'Detailed Feasibility Inputs'!$I$44,IF('Detailed Feasibility'!C76='Detailed Feasibility Inputs'!$B$45,'Detailed Feasibility Inputs'!$I$45,IF('Detailed Feasibility'!C76='Detailed Feasibility Inputs'!$B$46,'Detailed Feasibility Inputs'!$I$46,0))))))</f>
        <v>360000</v>
      </c>
      <c r="E76" s="20">
        <f>IF(C76='Detailed Feasibility Inputs'!$B$53,'Detailed Feasibility Inputs'!$E$53,IF('Detailed Feasibility'!C76='Detailed Feasibility Inputs'!$B$54,'Detailed Feasibility Inputs'!$E$54,IF('Detailed Feasibility'!C76='Detailed Feasibility Inputs'!$B$55,'Detailed Feasibility Inputs'!$E$55,IF('Detailed Feasibility'!C76='Detailed Feasibility Inputs'!$B$56,'Detailed Feasibility Inputs'!$E$56,IF('Detailed Feasibility'!C76='Detailed Feasibility Inputs'!$B$57,'Detailed Feasibility Inputs'!$E$57,IF('Detailed Feasibility'!C76='Detailed Feasibility Inputs'!$B$58,'Detailed Feasibility Inputs'!$E$58,0))))))</f>
        <v>270000</v>
      </c>
      <c r="F76" s="53">
        <v>21</v>
      </c>
      <c r="G76" s="304">
        <v>24</v>
      </c>
      <c r="H76" s="47">
        <v>25</v>
      </c>
      <c r="I76" s="49">
        <f t="shared" si="0"/>
        <v>26</v>
      </c>
      <c r="J76" s="48"/>
      <c r="K76" s="419">
        <f t="shared" si="1"/>
        <v>0</v>
      </c>
      <c r="L76" s="419">
        <f t="shared" si="2"/>
        <v>71954.25</v>
      </c>
      <c r="M76" s="419">
        <f t="shared" si="3"/>
        <v>95939.000000000015</v>
      </c>
      <c r="N76" s="516">
        <f t="shared" si="4"/>
        <v>90000</v>
      </c>
      <c r="O76" s="516">
        <f t="shared" si="5"/>
        <v>90000</v>
      </c>
      <c r="P76" s="516">
        <f t="shared" si="6"/>
        <v>90000</v>
      </c>
      <c r="Q76" s="48">
        <f>IF(C76='Detailed Feasibility Inputs'!$B$41,'Detailed Feasibility Inputs'!$J$41,0)+IF('Detailed Feasibility'!C76='Detailed Feasibility Inputs'!$B$42,'Detailed Feasibility Inputs'!$J$42,0)+IF('Detailed Feasibility'!C76='Detailed Feasibility Inputs'!$B$43,'Detailed Feasibility Inputs'!$J$43,0)+IF('Detailed Feasibility'!C76='Detailed Feasibility Inputs'!$B$44,'Detailed Feasibility Inputs'!$J$44,0)+IF('Detailed Feasibility'!C76='Detailed Feasibility Inputs'!$B$45,'Detailed Feasibility Inputs'!$J$45,0)+IF('Detailed Feasibility'!C76='Detailed Feasibility Inputs'!$B$46,'Detailed Feasibility Inputs'!$J$46,0)</f>
        <v>240000</v>
      </c>
      <c r="R76" s="48"/>
      <c r="S76" s="508"/>
      <c r="T76" s="508"/>
      <c r="U76" s="508"/>
      <c r="V76" s="508"/>
      <c r="AK76" s="518"/>
      <c r="AL76" s="460"/>
      <c r="AN76" s="461"/>
      <c r="AO76" s="276"/>
      <c r="BM76" s="1"/>
      <c r="BN76" s="1"/>
    </row>
    <row r="77" spans="2:66" x14ac:dyDescent="0.25">
      <c r="B77" s="409" t="str">
        <f>'Detailed Feasibility Inputs'!B28</f>
        <v>Lot 13</v>
      </c>
      <c r="C77" s="187" t="str">
        <f>'Detailed Feasibility Inputs'!C28</f>
        <v>3 Bed</v>
      </c>
      <c r="D77" s="517">
        <f>IF(C77='Detailed Feasibility Inputs'!$B$41,'Detailed Feasibility Inputs'!$I$41,IF('Detailed Feasibility'!C77='Detailed Feasibility Inputs'!$B$42,'Detailed Feasibility Inputs'!$I$42,IF('Detailed Feasibility'!C77='Detailed Feasibility Inputs'!$B$43,'Detailed Feasibility Inputs'!$I$43,IF('Detailed Feasibility'!C77='Detailed Feasibility Inputs'!$B$44,'Detailed Feasibility Inputs'!$I$44,IF('Detailed Feasibility'!C77='Detailed Feasibility Inputs'!$B$45,'Detailed Feasibility Inputs'!$I$45,IF('Detailed Feasibility'!C77='Detailed Feasibility Inputs'!$B$46,'Detailed Feasibility Inputs'!$I$46,0))))))</f>
        <v>360000</v>
      </c>
      <c r="E77" s="20">
        <f>IF(C77='Detailed Feasibility Inputs'!$B$53,'Detailed Feasibility Inputs'!$E$53,IF('Detailed Feasibility'!C77='Detailed Feasibility Inputs'!$B$54,'Detailed Feasibility Inputs'!$E$54,IF('Detailed Feasibility'!C77='Detailed Feasibility Inputs'!$B$55,'Detailed Feasibility Inputs'!$E$55,IF('Detailed Feasibility'!C77='Detailed Feasibility Inputs'!$B$56,'Detailed Feasibility Inputs'!$E$56,IF('Detailed Feasibility'!C77='Detailed Feasibility Inputs'!$B$57,'Detailed Feasibility Inputs'!$E$57,IF('Detailed Feasibility'!C77='Detailed Feasibility Inputs'!$B$58,'Detailed Feasibility Inputs'!$E$58,0))))))</f>
        <v>270000</v>
      </c>
      <c r="F77" s="53">
        <v>21</v>
      </c>
      <c r="G77" s="304">
        <v>24</v>
      </c>
      <c r="H77" s="47">
        <v>25</v>
      </c>
      <c r="I77" s="49">
        <f t="shared" si="0"/>
        <v>26</v>
      </c>
      <c r="J77" s="48"/>
      <c r="K77" s="419">
        <f t="shared" si="1"/>
        <v>0</v>
      </c>
      <c r="L77" s="419">
        <f t="shared" si="2"/>
        <v>71954.25</v>
      </c>
      <c r="M77" s="419">
        <f t="shared" si="3"/>
        <v>95939.000000000015</v>
      </c>
      <c r="N77" s="516">
        <f t="shared" si="4"/>
        <v>90000</v>
      </c>
      <c r="O77" s="516">
        <f t="shared" si="5"/>
        <v>90000</v>
      </c>
      <c r="P77" s="516">
        <f t="shared" si="6"/>
        <v>90000</v>
      </c>
      <c r="Q77" s="48">
        <f>IF(C77='Detailed Feasibility Inputs'!$B$41,'Detailed Feasibility Inputs'!$J$41,0)+IF('Detailed Feasibility'!C77='Detailed Feasibility Inputs'!$B$42,'Detailed Feasibility Inputs'!$J$42,0)+IF('Detailed Feasibility'!C77='Detailed Feasibility Inputs'!$B$43,'Detailed Feasibility Inputs'!$J$43,0)+IF('Detailed Feasibility'!C77='Detailed Feasibility Inputs'!$B$44,'Detailed Feasibility Inputs'!$J$44,0)+IF('Detailed Feasibility'!C77='Detailed Feasibility Inputs'!$B$45,'Detailed Feasibility Inputs'!$J$45,0)+IF('Detailed Feasibility'!C77='Detailed Feasibility Inputs'!$B$46,'Detailed Feasibility Inputs'!$J$46,0)</f>
        <v>240000</v>
      </c>
      <c r="R77" s="506"/>
      <c r="S77" s="508"/>
      <c r="T77" s="508"/>
      <c r="U77" s="508"/>
      <c r="V77" s="508"/>
      <c r="BM77" s="1"/>
      <c r="BN77" s="1"/>
    </row>
    <row r="78" spans="2:66" x14ac:dyDescent="0.25">
      <c r="B78" s="409" t="str">
        <f>'Detailed Feasibility Inputs'!B29</f>
        <v>Lot 14</v>
      </c>
      <c r="C78" s="187" t="str">
        <f>'Detailed Feasibility Inputs'!C29</f>
        <v>4 Bed</v>
      </c>
      <c r="D78" s="517">
        <f>IF(C78='Detailed Feasibility Inputs'!$B$41,'Detailed Feasibility Inputs'!$I$41,IF('Detailed Feasibility'!C78='Detailed Feasibility Inputs'!$B$42,'Detailed Feasibility Inputs'!$I$42,IF('Detailed Feasibility'!C78='Detailed Feasibility Inputs'!$B$43,'Detailed Feasibility Inputs'!$I$43,IF('Detailed Feasibility'!C78='Detailed Feasibility Inputs'!$B$44,'Detailed Feasibility Inputs'!$I$44,IF('Detailed Feasibility'!C78='Detailed Feasibility Inputs'!$B$45,'Detailed Feasibility Inputs'!$I$45,IF('Detailed Feasibility'!C78='Detailed Feasibility Inputs'!$B$46,'Detailed Feasibility Inputs'!$I$46,0))))))</f>
        <v>420000</v>
      </c>
      <c r="E78" s="20">
        <f>IF(C78='Detailed Feasibility Inputs'!$B$53,'Detailed Feasibility Inputs'!$E$53,IF('Detailed Feasibility'!C78='Detailed Feasibility Inputs'!$B$54,'Detailed Feasibility Inputs'!$E$54,IF('Detailed Feasibility'!C78='Detailed Feasibility Inputs'!$B$55,'Detailed Feasibility Inputs'!$E$55,IF('Detailed Feasibility'!C78='Detailed Feasibility Inputs'!$B$56,'Detailed Feasibility Inputs'!$E$56,IF('Detailed Feasibility'!C78='Detailed Feasibility Inputs'!$B$57,'Detailed Feasibility Inputs'!$E$57,IF('Detailed Feasibility'!C78='Detailed Feasibility Inputs'!$B$58,'Detailed Feasibility Inputs'!$E$58,0))))))</f>
        <v>360000</v>
      </c>
      <c r="F78" s="53">
        <v>24</v>
      </c>
      <c r="G78" s="304">
        <v>27</v>
      </c>
      <c r="H78" s="47">
        <v>28</v>
      </c>
      <c r="I78" s="49">
        <f t="shared" si="0"/>
        <v>29</v>
      </c>
      <c r="J78" s="48"/>
      <c r="K78" s="419">
        <f t="shared" si="1"/>
        <v>0</v>
      </c>
      <c r="L78" s="419">
        <f t="shared" si="2"/>
        <v>85926.750000000015</v>
      </c>
      <c r="M78" s="419">
        <f t="shared" si="3"/>
        <v>114569.00000000003</v>
      </c>
      <c r="N78" s="516">
        <f t="shared" si="4"/>
        <v>120000</v>
      </c>
      <c r="O78" s="516">
        <f t="shared" si="5"/>
        <v>120000</v>
      </c>
      <c r="P78" s="516">
        <f t="shared" si="6"/>
        <v>120000</v>
      </c>
      <c r="Q78" s="48">
        <f>IF(C78='Detailed Feasibility Inputs'!$B$41,'Detailed Feasibility Inputs'!$J$41,0)+IF('Detailed Feasibility'!C78='Detailed Feasibility Inputs'!$B$42,'Detailed Feasibility Inputs'!$J$42,0)+IF('Detailed Feasibility'!C78='Detailed Feasibility Inputs'!$B$43,'Detailed Feasibility Inputs'!$J$43,0)+IF('Detailed Feasibility'!C78='Detailed Feasibility Inputs'!$B$44,'Detailed Feasibility Inputs'!$J$44,0)+IF('Detailed Feasibility'!C78='Detailed Feasibility Inputs'!$B$45,'Detailed Feasibility Inputs'!$J$45,0)+IF('Detailed Feasibility'!C78='Detailed Feasibility Inputs'!$B$46,'Detailed Feasibility Inputs'!$J$46,0)</f>
        <v>280000</v>
      </c>
      <c r="R78" s="48"/>
      <c r="S78" s="508"/>
      <c r="T78" s="508"/>
      <c r="U78" s="508"/>
      <c r="V78" s="508"/>
      <c r="BM78" s="1"/>
      <c r="BN78" s="1"/>
    </row>
    <row r="79" spans="2:66" x14ac:dyDescent="0.25">
      <c r="B79" s="409" t="str">
        <f>'Detailed Feasibility Inputs'!B30</f>
        <v>Lot 15</v>
      </c>
      <c r="C79" s="187" t="str">
        <f>'Detailed Feasibility Inputs'!C30</f>
        <v>4 Bed</v>
      </c>
      <c r="D79" s="517">
        <f>IF(C79='Detailed Feasibility Inputs'!$B$41,'Detailed Feasibility Inputs'!$I$41,IF('Detailed Feasibility'!C79='Detailed Feasibility Inputs'!$B$42,'Detailed Feasibility Inputs'!$I$42,IF('Detailed Feasibility'!C79='Detailed Feasibility Inputs'!$B$43,'Detailed Feasibility Inputs'!$I$43,IF('Detailed Feasibility'!C79='Detailed Feasibility Inputs'!$B$44,'Detailed Feasibility Inputs'!$I$44,IF('Detailed Feasibility'!C79='Detailed Feasibility Inputs'!$B$45,'Detailed Feasibility Inputs'!$I$45,IF('Detailed Feasibility'!C79='Detailed Feasibility Inputs'!$B$46,'Detailed Feasibility Inputs'!$I$46,0))))))</f>
        <v>420000</v>
      </c>
      <c r="E79" s="20">
        <f>IF(C79='Detailed Feasibility Inputs'!$B$53,'Detailed Feasibility Inputs'!$E$53,IF('Detailed Feasibility'!C79='Detailed Feasibility Inputs'!$B$54,'Detailed Feasibility Inputs'!$E$54,IF('Detailed Feasibility'!C79='Detailed Feasibility Inputs'!$B$55,'Detailed Feasibility Inputs'!$E$55,IF('Detailed Feasibility'!C79='Detailed Feasibility Inputs'!$B$56,'Detailed Feasibility Inputs'!$E$56,IF('Detailed Feasibility'!C79='Detailed Feasibility Inputs'!$B$57,'Detailed Feasibility Inputs'!$E$57,IF('Detailed Feasibility'!C79='Detailed Feasibility Inputs'!$B$58,'Detailed Feasibility Inputs'!$E$58,0))))))</f>
        <v>360000</v>
      </c>
      <c r="F79" s="53">
        <v>24</v>
      </c>
      <c r="G79" s="304">
        <v>27</v>
      </c>
      <c r="H79" s="47">
        <v>28</v>
      </c>
      <c r="I79" s="49">
        <f t="shared" si="0"/>
        <v>29</v>
      </c>
      <c r="J79" s="48"/>
      <c r="K79" s="419">
        <f t="shared" si="1"/>
        <v>0</v>
      </c>
      <c r="L79" s="419">
        <f t="shared" si="2"/>
        <v>85926.750000000015</v>
      </c>
      <c r="M79" s="419">
        <f t="shared" si="3"/>
        <v>114569.00000000003</v>
      </c>
      <c r="N79" s="516">
        <f t="shared" si="4"/>
        <v>120000</v>
      </c>
      <c r="O79" s="516">
        <f t="shared" si="5"/>
        <v>120000</v>
      </c>
      <c r="P79" s="516">
        <f t="shared" si="6"/>
        <v>120000</v>
      </c>
      <c r="Q79" s="48">
        <f>IF(C79='Detailed Feasibility Inputs'!$B$41,'Detailed Feasibility Inputs'!$J$41,0)+IF('Detailed Feasibility'!C79='Detailed Feasibility Inputs'!$B$42,'Detailed Feasibility Inputs'!$J$42,0)+IF('Detailed Feasibility'!C79='Detailed Feasibility Inputs'!$B$43,'Detailed Feasibility Inputs'!$J$43,0)+IF('Detailed Feasibility'!C79='Detailed Feasibility Inputs'!$B$44,'Detailed Feasibility Inputs'!$J$44,0)+IF('Detailed Feasibility'!C79='Detailed Feasibility Inputs'!$B$45,'Detailed Feasibility Inputs'!$J$45,0)+IF('Detailed Feasibility'!C79='Detailed Feasibility Inputs'!$B$46,'Detailed Feasibility Inputs'!$J$46,0)</f>
        <v>280000</v>
      </c>
      <c r="R79" s="48"/>
      <c r="S79" s="508"/>
      <c r="T79" s="508"/>
      <c r="U79" s="508"/>
      <c r="V79" s="508"/>
      <c r="BM79" s="1"/>
      <c r="BN79" s="1"/>
    </row>
    <row r="80" spans="2:66" x14ac:dyDescent="0.25">
      <c r="B80" s="409" t="str">
        <f>'Detailed Feasibility Inputs'!B31</f>
        <v>Lot 16</v>
      </c>
      <c r="C80" s="187" t="str">
        <f>'Detailed Feasibility Inputs'!C31</f>
        <v>4 Bed</v>
      </c>
      <c r="D80" s="517">
        <f>IF(C80='Detailed Feasibility Inputs'!$B$41,'Detailed Feasibility Inputs'!$I$41,IF('Detailed Feasibility'!C80='Detailed Feasibility Inputs'!$B$42,'Detailed Feasibility Inputs'!$I$42,IF('Detailed Feasibility'!C80='Detailed Feasibility Inputs'!$B$43,'Detailed Feasibility Inputs'!$I$43,IF('Detailed Feasibility'!C80='Detailed Feasibility Inputs'!$B$44,'Detailed Feasibility Inputs'!$I$44,IF('Detailed Feasibility'!C80='Detailed Feasibility Inputs'!$B$45,'Detailed Feasibility Inputs'!$I$45,IF('Detailed Feasibility'!C80='Detailed Feasibility Inputs'!$B$46,'Detailed Feasibility Inputs'!$I$46,0))))))</f>
        <v>420000</v>
      </c>
      <c r="E80" s="20">
        <f>IF(C80='Detailed Feasibility Inputs'!$B$53,'Detailed Feasibility Inputs'!$E$53,IF('Detailed Feasibility'!C80='Detailed Feasibility Inputs'!$B$54,'Detailed Feasibility Inputs'!$E$54,IF('Detailed Feasibility'!C80='Detailed Feasibility Inputs'!$B$55,'Detailed Feasibility Inputs'!$E$55,IF('Detailed Feasibility'!C80='Detailed Feasibility Inputs'!$B$56,'Detailed Feasibility Inputs'!$E$56,IF('Detailed Feasibility'!C80='Detailed Feasibility Inputs'!$B$57,'Detailed Feasibility Inputs'!$E$57,IF('Detailed Feasibility'!C80='Detailed Feasibility Inputs'!$B$58,'Detailed Feasibility Inputs'!$E$58,0))))))</f>
        <v>360000</v>
      </c>
      <c r="F80" s="53">
        <v>24</v>
      </c>
      <c r="G80" s="304">
        <v>27</v>
      </c>
      <c r="H80" s="47">
        <v>28</v>
      </c>
      <c r="I80" s="49">
        <f t="shared" si="0"/>
        <v>29</v>
      </c>
      <c r="J80" s="48"/>
      <c r="K80" s="419">
        <f t="shared" si="1"/>
        <v>0</v>
      </c>
      <c r="L80" s="419">
        <f t="shared" si="2"/>
        <v>85926.750000000015</v>
      </c>
      <c r="M80" s="419">
        <f t="shared" si="3"/>
        <v>114569.00000000003</v>
      </c>
      <c r="N80" s="516">
        <f t="shared" si="4"/>
        <v>120000</v>
      </c>
      <c r="O80" s="516">
        <f t="shared" si="5"/>
        <v>120000</v>
      </c>
      <c r="P80" s="516">
        <f t="shared" si="6"/>
        <v>120000</v>
      </c>
      <c r="Q80" s="48">
        <f>IF(C80='Detailed Feasibility Inputs'!$B$41,'Detailed Feasibility Inputs'!$J$41,0)+IF('Detailed Feasibility'!C80='Detailed Feasibility Inputs'!$B$42,'Detailed Feasibility Inputs'!$J$42,0)+IF('Detailed Feasibility'!C80='Detailed Feasibility Inputs'!$B$43,'Detailed Feasibility Inputs'!$J$43,0)+IF('Detailed Feasibility'!C80='Detailed Feasibility Inputs'!$B$44,'Detailed Feasibility Inputs'!$J$44,0)+IF('Detailed Feasibility'!C80='Detailed Feasibility Inputs'!$B$45,'Detailed Feasibility Inputs'!$J$45,0)+IF('Detailed Feasibility'!C80='Detailed Feasibility Inputs'!$B$46,'Detailed Feasibility Inputs'!$J$46,0)</f>
        <v>280000</v>
      </c>
      <c r="R80" s="48"/>
      <c r="S80" s="508"/>
      <c r="T80" s="508"/>
      <c r="U80" s="508"/>
      <c r="V80" s="508"/>
      <c r="BM80" s="1"/>
      <c r="BN80" s="1"/>
    </row>
    <row r="81" spans="2:66" x14ac:dyDescent="0.25">
      <c r="B81" s="409" t="str">
        <f>'Detailed Feasibility Inputs'!B32</f>
        <v>Lot 17</v>
      </c>
      <c r="C81" s="187" t="str">
        <f>'Detailed Feasibility Inputs'!C32</f>
        <v>4 Bed</v>
      </c>
      <c r="D81" s="517">
        <f>IF(C81='Detailed Feasibility Inputs'!$B$41,'Detailed Feasibility Inputs'!$I$41,IF('Detailed Feasibility'!C81='Detailed Feasibility Inputs'!$B$42,'Detailed Feasibility Inputs'!$I$42,IF('Detailed Feasibility'!C81='Detailed Feasibility Inputs'!$B$43,'Detailed Feasibility Inputs'!$I$43,IF('Detailed Feasibility'!C81='Detailed Feasibility Inputs'!$B$44,'Detailed Feasibility Inputs'!$I$44,IF('Detailed Feasibility'!C81='Detailed Feasibility Inputs'!$B$45,'Detailed Feasibility Inputs'!$I$45,IF('Detailed Feasibility'!C81='Detailed Feasibility Inputs'!$B$46,'Detailed Feasibility Inputs'!$I$46,0))))))</f>
        <v>420000</v>
      </c>
      <c r="E81" s="20">
        <f>IF(C81='Detailed Feasibility Inputs'!$B$53,'Detailed Feasibility Inputs'!$E$53,IF('Detailed Feasibility'!C81='Detailed Feasibility Inputs'!$B$54,'Detailed Feasibility Inputs'!$E$54,IF('Detailed Feasibility'!C81='Detailed Feasibility Inputs'!$B$55,'Detailed Feasibility Inputs'!$E$55,IF('Detailed Feasibility'!C81='Detailed Feasibility Inputs'!$B$56,'Detailed Feasibility Inputs'!$E$56,IF('Detailed Feasibility'!C81='Detailed Feasibility Inputs'!$B$57,'Detailed Feasibility Inputs'!$E$57,IF('Detailed Feasibility'!C81='Detailed Feasibility Inputs'!$B$58,'Detailed Feasibility Inputs'!$E$58,0))))))</f>
        <v>360000</v>
      </c>
      <c r="F81" s="53">
        <v>24</v>
      </c>
      <c r="G81" s="304">
        <v>27</v>
      </c>
      <c r="H81" s="47">
        <v>28</v>
      </c>
      <c r="I81" s="49">
        <f t="shared" si="0"/>
        <v>29</v>
      </c>
      <c r="J81" s="48"/>
      <c r="K81" s="419">
        <f t="shared" si="1"/>
        <v>0</v>
      </c>
      <c r="L81" s="419">
        <f t="shared" si="2"/>
        <v>85926.750000000015</v>
      </c>
      <c r="M81" s="419">
        <f t="shared" si="3"/>
        <v>114569.00000000003</v>
      </c>
      <c r="N81" s="516">
        <f t="shared" si="4"/>
        <v>120000</v>
      </c>
      <c r="O81" s="516">
        <f t="shared" si="5"/>
        <v>120000</v>
      </c>
      <c r="P81" s="516">
        <f t="shared" si="6"/>
        <v>120000</v>
      </c>
      <c r="Q81" s="48">
        <f>IF(C81='Detailed Feasibility Inputs'!$B$41,'Detailed Feasibility Inputs'!$J$41,0)+IF('Detailed Feasibility'!C81='Detailed Feasibility Inputs'!$B$42,'Detailed Feasibility Inputs'!$J$42,0)+IF('Detailed Feasibility'!C81='Detailed Feasibility Inputs'!$B$43,'Detailed Feasibility Inputs'!$J$43,0)+IF('Detailed Feasibility'!C81='Detailed Feasibility Inputs'!$B$44,'Detailed Feasibility Inputs'!$J$44,0)+IF('Detailed Feasibility'!C81='Detailed Feasibility Inputs'!$B$45,'Detailed Feasibility Inputs'!$J$45,0)+IF('Detailed Feasibility'!C81='Detailed Feasibility Inputs'!$B$46,'Detailed Feasibility Inputs'!$J$46,0)</f>
        <v>280000</v>
      </c>
      <c r="R81" s="48"/>
      <c r="S81" s="508"/>
      <c r="T81" s="508"/>
      <c r="U81" s="508"/>
      <c r="V81" s="508"/>
      <c r="BM81" s="1"/>
      <c r="BN81" s="1"/>
    </row>
    <row r="82" spans="2:66" x14ac:dyDescent="0.25">
      <c r="B82" s="409" t="str">
        <f>'Detailed Feasibility Inputs'!B33</f>
        <v>Lot 18</v>
      </c>
      <c r="C82" s="187" t="str">
        <f>'Detailed Feasibility Inputs'!C33</f>
        <v>4 Bed</v>
      </c>
      <c r="D82" s="517">
        <f>IF(C82='Detailed Feasibility Inputs'!$B$41,'Detailed Feasibility Inputs'!$I$41,IF('Detailed Feasibility'!C82='Detailed Feasibility Inputs'!$B$42,'Detailed Feasibility Inputs'!$I$42,IF('Detailed Feasibility'!C82='Detailed Feasibility Inputs'!$B$43,'Detailed Feasibility Inputs'!$I$43,IF('Detailed Feasibility'!C82='Detailed Feasibility Inputs'!$B$44,'Detailed Feasibility Inputs'!$I$44,IF('Detailed Feasibility'!C82='Detailed Feasibility Inputs'!$B$45,'Detailed Feasibility Inputs'!$I$45,IF('Detailed Feasibility'!C82='Detailed Feasibility Inputs'!$B$46,'Detailed Feasibility Inputs'!$I$46,0))))))</f>
        <v>420000</v>
      </c>
      <c r="E82" s="20">
        <f>IF(C82='Detailed Feasibility Inputs'!$B$53,'Detailed Feasibility Inputs'!$E$53,IF('Detailed Feasibility'!C82='Detailed Feasibility Inputs'!$B$54,'Detailed Feasibility Inputs'!$E$54,IF('Detailed Feasibility'!C82='Detailed Feasibility Inputs'!$B$55,'Detailed Feasibility Inputs'!$E$55,IF('Detailed Feasibility'!C82='Detailed Feasibility Inputs'!$B$56,'Detailed Feasibility Inputs'!$E$56,IF('Detailed Feasibility'!C82='Detailed Feasibility Inputs'!$B$57,'Detailed Feasibility Inputs'!$E$57,IF('Detailed Feasibility'!C82='Detailed Feasibility Inputs'!$B$58,'Detailed Feasibility Inputs'!$E$58,0))))))</f>
        <v>360000</v>
      </c>
      <c r="F82" s="53">
        <v>24</v>
      </c>
      <c r="G82" s="304">
        <v>27</v>
      </c>
      <c r="H82" s="47">
        <v>28</v>
      </c>
      <c r="I82" s="49">
        <f t="shared" si="0"/>
        <v>29</v>
      </c>
      <c r="J82" s="48"/>
      <c r="K82" s="419">
        <f t="shared" si="1"/>
        <v>0</v>
      </c>
      <c r="L82" s="419">
        <f t="shared" si="2"/>
        <v>85926.750000000015</v>
      </c>
      <c r="M82" s="419">
        <f t="shared" si="3"/>
        <v>114569.00000000003</v>
      </c>
      <c r="N82" s="516">
        <f t="shared" si="4"/>
        <v>120000</v>
      </c>
      <c r="O82" s="516">
        <f t="shared" si="5"/>
        <v>120000</v>
      </c>
      <c r="P82" s="516">
        <f t="shared" si="6"/>
        <v>120000</v>
      </c>
      <c r="Q82" s="48">
        <f>IF(C82='Detailed Feasibility Inputs'!$B$41,'Detailed Feasibility Inputs'!$J$41,0)+IF('Detailed Feasibility'!C82='Detailed Feasibility Inputs'!$B$42,'Detailed Feasibility Inputs'!$J$42,0)+IF('Detailed Feasibility'!C82='Detailed Feasibility Inputs'!$B$43,'Detailed Feasibility Inputs'!$J$43,0)+IF('Detailed Feasibility'!C82='Detailed Feasibility Inputs'!$B$44,'Detailed Feasibility Inputs'!$J$44,0)+IF('Detailed Feasibility'!C82='Detailed Feasibility Inputs'!$B$45,'Detailed Feasibility Inputs'!$J$45,0)+IF('Detailed Feasibility'!C82='Detailed Feasibility Inputs'!$B$46,'Detailed Feasibility Inputs'!$J$46,0)</f>
        <v>280000</v>
      </c>
      <c r="R82" s="48"/>
      <c r="S82" s="508"/>
      <c r="T82" s="508"/>
      <c r="U82" s="508"/>
      <c r="V82" s="508"/>
      <c r="BM82" s="1"/>
      <c r="BN82" s="1"/>
    </row>
    <row r="83" spans="2:66" x14ac:dyDescent="0.25">
      <c r="B83" s="409">
        <f>'Detailed Feasibility Inputs'!B34</f>
        <v>0</v>
      </c>
      <c r="C83" s="187">
        <f>'Detailed Feasibility Inputs'!C34</f>
        <v>0</v>
      </c>
      <c r="D83" s="517">
        <f>IF(C83='Detailed Feasibility Inputs'!$B$41,'Detailed Feasibility Inputs'!$I$41,IF('Detailed Feasibility'!C83='Detailed Feasibility Inputs'!$B$42,'Detailed Feasibility Inputs'!$I$42,IF('Detailed Feasibility'!C83='Detailed Feasibility Inputs'!$B$43,'Detailed Feasibility Inputs'!$I$43,IF('Detailed Feasibility'!C83='Detailed Feasibility Inputs'!$B$44,'Detailed Feasibility Inputs'!$I$44,IF('Detailed Feasibility'!C83='Detailed Feasibility Inputs'!$B$45,'Detailed Feasibility Inputs'!$I$45,IF('Detailed Feasibility'!C83='Detailed Feasibility Inputs'!$B$46,'Detailed Feasibility Inputs'!$I$46,0))))))</f>
        <v>0</v>
      </c>
      <c r="E83" s="20">
        <f>IF(C83='Detailed Feasibility Inputs'!$B$53,'Detailed Feasibility Inputs'!$E$53,IF('Detailed Feasibility'!C83='Detailed Feasibility Inputs'!$B$54,'Detailed Feasibility Inputs'!$E$54,IF('Detailed Feasibility'!C83='Detailed Feasibility Inputs'!$B$55,'Detailed Feasibility Inputs'!$E$55,IF('Detailed Feasibility'!C83='Detailed Feasibility Inputs'!$B$56,'Detailed Feasibility Inputs'!$E$56,IF('Detailed Feasibility'!C83='Detailed Feasibility Inputs'!$B$57,'Detailed Feasibility Inputs'!$E$57,IF('Detailed Feasibility'!C83='Detailed Feasibility Inputs'!$B$58,'Detailed Feasibility Inputs'!$E$58,0))))))</f>
        <v>0</v>
      </c>
      <c r="F83" s="53">
        <v>24</v>
      </c>
      <c r="G83" s="304">
        <v>27</v>
      </c>
      <c r="H83" s="47">
        <v>28</v>
      </c>
      <c r="I83" s="49">
        <f t="shared" si="0"/>
        <v>29</v>
      </c>
      <c r="K83" s="419">
        <f t="shared" si="1"/>
        <v>0</v>
      </c>
      <c r="L83" s="419">
        <f t="shared" si="2"/>
        <v>0</v>
      </c>
      <c r="M83" s="419">
        <f t="shared" si="3"/>
        <v>0</v>
      </c>
      <c r="N83" s="516">
        <f t="shared" si="4"/>
        <v>0</v>
      </c>
      <c r="O83" s="516">
        <f t="shared" si="5"/>
        <v>0</v>
      </c>
      <c r="P83" s="516">
        <f t="shared" si="6"/>
        <v>0</v>
      </c>
      <c r="Q83" s="48">
        <f>IF(C83='Detailed Feasibility Inputs'!$B$41,'Detailed Feasibility Inputs'!$J$41,0)+IF('Detailed Feasibility'!C83='Detailed Feasibility Inputs'!$B$42,'Detailed Feasibility Inputs'!$J$42,0)+IF('Detailed Feasibility'!C83='Detailed Feasibility Inputs'!$B$43,'Detailed Feasibility Inputs'!$J$43,0)+IF('Detailed Feasibility'!C83='Detailed Feasibility Inputs'!$B$44,'Detailed Feasibility Inputs'!$J$44,0)+IF('Detailed Feasibility'!C83='Detailed Feasibility Inputs'!$B$45,'Detailed Feasibility Inputs'!$J$45,0)+IF('Detailed Feasibility'!C83='Detailed Feasibility Inputs'!$B$46,'Detailed Feasibility Inputs'!$J$46,0)</f>
        <v>0</v>
      </c>
      <c r="R83" s="48"/>
      <c r="S83" s="508"/>
      <c r="T83" s="508"/>
      <c r="U83" s="508"/>
      <c r="V83" s="508"/>
      <c r="BM83" s="1"/>
      <c r="BN83" s="1"/>
    </row>
    <row r="84" spans="2:66" x14ac:dyDescent="0.25">
      <c r="B84" s="411">
        <f>'Detailed Feasibility Inputs'!B35</f>
        <v>0</v>
      </c>
      <c r="C84" s="414">
        <f>'Detailed Feasibility Inputs'!C35</f>
        <v>0</v>
      </c>
      <c r="D84" s="519">
        <f>IF(C84='Detailed Feasibility Inputs'!$B$41,'Detailed Feasibility Inputs'!$I$41,IF('Detailed Feasibility'!C84='Detailed Feasibility Inputs'!$B$42,'Detailed Feasibility Inputs'!$I$42,IF('Detailed Feasibility'!C84='Detailed Feasibility Inputs'!$B$43,'Detailed Feasibility Inputs'!$I$43,IF('Detailed Feasibility'!C84='Detailed Feasibility Inputs'!$B$44,'Detailed Feasibility Inputs'!$I$44,IF('Detailed Feasibility'!C84='Detailed Feasibility Inputs'!$B$45,'Detailed Feasibility Inputs'!$I$45,IF('Detailed Feasibility'!C84='Detailed Feasibility Inputs'!$B$46,'Detailed Feasibility Inputs'!$I$46,0))))))</f>
        <v>0</v>
      </c>
      <c r="E84" s="360">
        <f>IF(C84='Detailed Feasibility Inputs'!$B$53,'Detailed Feasibility Inputs'!$E$53,IF('Detailed Feasibility'!C84='Detailed Feasibility Inputs'!$B$54,'Detailed Feasibility Inputs'!$E$54,IF('Detailed Feasibility'!C84='Detailed Feasibility Inputs'!$B$55,'Detailed Feasibility Inputs'!$E$55,IF('Detailed Feasibility'!C84='Detailed Feasibility Inputs'!$B$56,'Detailed Feasibility Inputs'!$E$56,IF('Detailed Feasibility'!C84='Detailed Feasibility Inputs'!$B$57,'Detailed Feasibility Inputs'!$E$57,IF('Detailed Feasibility'!C84='Detailed Feasibility Inputs'!$B$58,'Detailed Feasibility Inputs'!$E$58,0))))))</f>
        <v>0</v>
      </c>
      <c r="F84" s="324">
        <v>24</v>
      </c>
      <c r="G84" s="327">
        <v>27</v>
      </c>
      <c r="H84" s="328">
        <v>28</v>
      </c>
      <c r="I84" s="49">
        <f t="shared" si="0"/>
        <v>29</v>
      </c>
      <c r="J84" s="48"/>
      <c r="K84" s="419">
        <f t="shared" si="1"/>
        <v>0</v>
      </c>
      <c r="L84" s="419">
        <f t="shared" si="2"/>
        <v>0</v>
      </c>
      <c r="M84" s="419">
        <f t="shared" si="3"/>
        <v>0</v>
      </c>
      <c r="N84" s="516">
        <f t="shared" si="4"/>
        <v>0</v>
      </c>
      <c r="O84" s="516">
        <f t="shared" si="5"/>
        <v>0</v>
      </c>
      <c r="P84" s="516">
        <f t="shared" si="6"/>
        <v>0</v>
      </c>
      <c r="Q84" s="48">
        <f>IF(C84='Detailed Feasibility Inputs'!$B$41,'Detailed Feasibility Inputs'!$J$41,0)+IF('Detailed Feasibility'!C84='Detailed Feasibility Inputs'!$B$42,'Detailed Feasibility Inputs'!$J$42,0)+IF('Detailed Feasibility'!C84='Detailed Feasibility Inputs'!$B$43,'Detailed Feasibility Inputs'!$J$43,0)+IF('Detailed Feasibility'!C84='Detailed Feasibility Inputs'!$B$44,'Detailed Feasibility Inputs'!$J$44,0)+IF('Detailed Feasibility'!C84='Detailed Feasibility Inputs'!$B$45,'Detailed Feasibility Inputs'!$J$45,0)+IF('Detailed Feasibility'!C84='Detailed Feasibility Inputs'!$B$46,'Detailed Feasibility Inputs'!$J$46,0)</f>
        <v>0</v>
      </c>
      <c r="R84" s="48"/>
      <c r="S84" s="508"/>
      <c r="T84" s="508"/>
      <c r="U84" s="508"/>
      <c r="V84" s="508"/>
      <c r="BM84" s="1"/>
      <c r="BN84" s="1"/>
    </row>
    <row r="85" spans="2:66" x14ac:dyDescent="0.25">
      <c r="B85" s="187"/>
      <c r="C85" s="187"/>
      <c r="D85" s="20"/>
      <c r="E85" s="20"/>
      <c r="F85" s="20"/>
      <c r="G85" s="20"/>
      <c r="H85" s="187"/>
      <c r="I85" s="49"/>
      <c r="J85" s="419"/>
      <c r="K85" s="419"/>
      <c r="L85" s="419"/>
      <c r="M85" s="419"/>
      <c r="N85" s="516"/>
      <c r="O85" s="516"/>
      <c r="P85" s="516"/>
      <c r="Q85" s="48">
        <f>IF(C85='Detailed Feasibility Inputs'!$B$41,'Detailed Feasibility Inputs'!$J$41,0)+IF('Detailed Feasibility'!C85='Detailed Feasibility Inputs'!$B$42,'Detailed Feasibility Inputs'!$J$42,0)+IF('Detailed Feasibility'!C85='Detailed Feasibility Inputs'!$B$43,'Detailed Feasibility Inputs'!$J$43,0)+IF('Detailed Feasibility'!C85='Detailed Feasibility Inputs'!$B$44,'Detailed Feasibility Inputs'!$J$44,0)+IF('Detailed Feasibility'!C85='Detailed Feasibility Inputs'!$B$45,'Detailed Feasibility Inputs'!$J$45,0)+IF('Detailed Feasibility'!C85='Detailed Feasibility Inputs'!$B$46,'Detailed Feasibility Inputs'!$J$46,0)</f>
        <v>0</v>
      </c>
      <c r="R85" s="48"/>
      <c r="S85" s="508"/>
      <c r="T85" s="508"/>
      <c r="U85" s="508"/>
      <c r="V85" s="508"/>
      <c r="BM85" s="1"/>
      <c r="BN85" s="1"/>
    </row>
    <row r="86" spans="2:66" collapsed="1" x14ac:dyDescent="0.25">
      <c r="B86" s="393" t="s">
        <v>310</v>
      </c>
      <c r="C86" s="187"/>
      <c r="D86" s="20"/>
      <c r="E86" s="20"/>
      <c r="F86" s="20"/>
      <c r="G86" s="1"/>
      <c r="H86" s="1"/>
      <c r="I86" s="48"/>
      <c r="J86" s="520"/>
      <c r="K86" s="521"/>
      <c r="L86" s="521"/>
      <c r="M86" s="521"/>
      <c r="N86" s="522"/>
      <c r="O86" s="522"/>
      <c r="P86" s="522"/>
      <c r="Q86" s="522"/>
      <c r="R86" s="508"/>
      <c r="S86" s="508"/>
      <c r="T86" s="508"/>
      <c r="U86" s="508"/>
      <c r="V86" s="508"/>
      <c r="W86" s="508"/>
      <c r="BM86" s="1"/>
      <c r="BN86" s="1"/>
    </row>
    <row r="87" spans="2:66" x14ac:dyDescent="0.25">
      <c r="B87" s="523" t="s">
        <v>311</v>
      </c>
      <c r="C87" s="524"/>
      <c r="D87" s="524"/>
      <c r="E87" s="524"/>
      <c r="F87" s="524"/>
      <c r="G87" s="524"/>
      <c r="H87" s="524"/>
      <c r="I87" s="524"/>
      <c r="J87" s="525"/>
      <c r="K87" s="521"/>
      <c r="L87" s="521"/>
      <c r="M87" s="521"/>
      <c r="N87" s="522"/>
      <c r="O87" s="522"/>
      <c r="P87" s="522"/>
      <c r="Q87" s="522"/>
      <c r="R87" s="508"/>
      <c r="S87" s="508"/>
      <c r="T87" s="508"/>
      <c r="U87" s="508"/>
      <c r="V87" s="508"/>
      <c r="W87" s="508"/>
      <c r="BM87" s="1"/>
      <c r="BN87" s="1"/>
    </row>
    <row r="88" spans="2:66" x14ac:dyDescent="0.25">
      <c r="C88" s="524"/>
      <c r="D88" s="524"/>
      <c r="E88" s="524"/>
      <c r="F88" s="524"/>
      <c r="G88" s="524"/>
      <c r="H88" s="524"/>
      <c r="I88" s="524"/>
      <c r="J88" s="525"/>
      <c r="K88" s="521"/>
      <c r="L88" s="521"/>
      <c r="M88" s="521"/>
      <c r="N88" s="522"/>
      <c r="O88" s="522"/>
      <c r="P88" s="522"/>
      <c r="Q88" s="522"/>
      <c r="R88" s="508"/>
      <c r="S88" s="508"/>
      <c r="T88" s="508"/>
      <c r="U88" s="508"/>
      <c r="V88" s="508"/>
      <c r="W88" s="508"/>
      <c r="BM88" s="1"/>
      <c r="BN88" s="1"/>
    </row>
    <row r="89" spans="2:66" x14ac:dyDescent="0.25">
      <c r="B89" s="654" t="s">
        <v>120</v>
      </c>
      <c r="C89" s="655"/>
      <c r="D89" s="655"/>
      <c r="E89" s="655"/>
      <c r="F89" s="656"/>
      <c r="G89" s="654" t="s">
        <v>121</v>
      </c>
      <c r="H89" s="655"/>
      <c r="I89" s="655"/>
      <c r="J89" s="655"/>
      <c r="K89" s="656"/>
      <c r="L89" s="521"/>
      <c r="M89" s="521"/>
      <c r="N89" s="522"/>
      <c r="O89" s="522"/>
      <c r="P89" s="522"/>
      <c r="Q89" s="522"/>
      <c r="R89" s="508"/>
      <c r="S89" s="508"/>
      <c r="T89" s="508"/>
      <c r="U89" s="508"/>
      <c r="V89" s="508"/>
      <c r="W89" s="508"/>
      <c r="BM89" s="1"/>
      <c r="BN89" s="1"/>
    </row>
    <row r="90" spans="2:66" x14ac:dyDescent="0.25">
      <c r="B90" s="657"/>
      <c r="C90" s="658"/>
      <c r="D90" s="658"/>
      <c r="E90" s="658"/>
      <c r="F90" s="659"/>
      <c r="G90" s="660"/>
      <c r="H90" s="661"/>
      <c r="I90" s="661"/>
      <c r="J90" s="661"/>
      <c r="K90" s="659"/>
      <c r="L90" s="521"/>
      <c r="M90" s="521"/>
      <c r="N90" s="522"/>
      <c r="O90" s="522"/>
      <c r="P90" s="522"/>
      <c r="Q90" s="522"/>
      <c r="R90" s="508"/>
      <c r="S90" s="508"/>
      <c r="T90" s="508"/>
      <c r="U90" s="508"/>
      <c r="V90" s="508"/>
      <c r="W90" s="508"/>
      <c r="BM90" s="1"/>
      <c r="BN90" s="1"/>
    </row>
    <row r="91" spans="2:66" x14ac:dyDescent="0.25">
      <c r="B91" s="502" t="s">
        <v>8</v>
      </c>
      <c r="C91" s="503" t="s">
        <v>34</v>
      </c>
      <c r="D91" s="503" t="s">
        <v>438</v>
      </c>
      <c r="E91" s="503" t="s">
        <v>122</v>
      </c>
      <c r="F91" s="503" t="s">
        <v>123</v>
      </c>
      <c r="G91" s="526" t="s">
        <v>124</v>
      </c>
      <c r="H91" s="503" t="s">
        <v>455</v>
      </c>
      <c r="I91" s="503" t="s">
        <v>125</v>
      </c>
      <c r="J91" s="504" t="s">
        <v>126</v>
      </c>
      <c r="K91" s="396" t="s">
        <v>127</v>
      </c>
      <c r="L91" s="521"/>
      <c r="M91" s="521"/>
      <c r="N91" s="522"/>
      <c r="O91" s="522"/>
      <c r="P91" s="522"/>
      <c r="Q91" s="522"/>
      <c r="R91" s="508"/>
      <c r="S91" s="508"/>
      <c r="T91" s="508"/>
      <c r="U91" s="508"/>
      <c r="V91" s="508"/>
      <c r="W91" s="508"/>
      <c r="BM91" s="1"/>
      <c r="BN91" s="1"/>
    </row>
    <row r="92" spans="2:66" x14ac:dyDescent="0.25">
      <c r="B92" s="2"/>
      <c r="C92" s="187"/>
      <c r="D92" s="1"/>
      <c r="E92" s="1"/>
      <c r="F92" s="1"/>
      <c r="G92" s="527">
        <f>IF(C99=Codes!$N$4,Codes!$O$4,IF(C99=Codes!$N$5,Codes!$O$5,IF(C99=Codes!$N$6,Codes!$O$6,0)))</f>
        <v>0</v>
      </c>
      <c r="H92" s="31">
        <f>IF(C99=Codes!$N$4,Codes!$P$4,IF(C99=Codes!$N$5,Codes!$P$5,IF(C99=Codes!$N$6,Codes!$P$6,0)))</f>
        <v>0.3</v>
      </c>
      <c r="I92" s="31">
        <f>IF(C99=Codes!$N$4,Codes!$Q$4,IF(C99=Codes!$N$5,Codes!$Q$5,IF(C99=Codes!$N$6,Codes!$Q$6,0)))</f>
        <v>0.3</v>
      </c>
      <c r="J92" s="528">
        <f>IF(C99=Codes!$N$4,Codes!$R$4,IF(C99=Codes!$N$5,Codes!$R$5,IF(C99=Codes!$N$6,Codes!$R$6,0)))</f>
        <v>0.4</v>
      </c>
      <c r="K92" s="22"/>
      <c r="L92" s="521"/>
      <c r="M92" s="521"/>
      <c r="N92" s="522"/>
      <c r="O92" s="522"/>
      <c r="P92" s="522"/>
      <c r="Q92" s="522"/>
      <c r="R92" s="508"/>
      <c r="S92" s="508"/>
      <c r="T92" s="508"/>
      <c r="U92" s="508"/>
      <c r="V92" s="508"/>
      <c r="W92" s="508"/>
      <c r="BM92" s="1"/>
      <c r="BN92" s="1"/>
    </row>
    <row r="93" spans="2:66" x14ac:dyDescent="0.25">
      <c r="B93" s="489" t="str">
        <f>'Detailed Feasibility Inputs'!$B$41</f>
        <v>1 Bed</v>
      </c>
      <c r="C93" s="187">
        <f>'Detailed Feasibility Inputs'!$C$41</f>
        <v>3</v>
      </c>
      <c r="D93" s="20">
        <f>IF(C93&gt;0,('Detailed Feasibility Inputs'!$E$53+('Detailed Feasibility Inputs'!$E$53*'Detailed Feasibility Inputs'!$E$59)+('Detailed Feasibility Inputs'!$F$110/'Detailed Feasibility Inputs'!$C$47)),0)</f>
        <v>360494.44444444444</v>
      </c>
      <c r="E93" s="329">
        <v>0.45</v>
      </c>
      <c r="F93" s="20">
        <f>D93*$E$93</f>
        <v>162222.5</v>
      </c>
      <c r="G93" s="517">
        <f>IF(C93=0,0,$F$93*$G$92)</f>
        <v>0</v>
      </c>
      <c r="H93" s="20">
        <f>IF(D93=0,0,$F$93*$H$92)</f>
        <v>48666.75</v>
      </c>
      <c r="I93" s="20">
        <f>IF(C93=0,0,$F$93*$I$92)</f>
        <v>48666.75</v>
      </c>
      <c r="J93" s="21">
        <f>IF(C93=0,0,$F$93*$J$92)</f>
        <v>64889</v>
      </c>
      <c r="K93" s="21">
        <f>$F$93*$C$93</f>
        <v>486667.5</v>
      </c>
      <c r="L93" s="521"/>
      <c r="M93" s="521"/>
      <c r="N93" s="522"/>
      <c r="O93" s="522"/>
      <c r="P93" s="522"/>
      <c r="Q93" s="522"/>
      <c r="R93" s="508"/>
      <c r="S93" s="508"/>
      <c r="T93" s="508"/>
      <c r="U93" s="508"/>
      <c r="V93" s="508"/>
      <c r="W93" s="508"/>
      <c r="BM93" s="1"/>
      <c r="BN93" s="1"/>
    </row>
    <row r="94" spans="2:66" x14ac:dyDescent="0.25">
      <c r="B94" s="489" t="str">
        <f>'Detailed Feasibility Inputs'!$B$42</f>
        <v>2 Bed</v>
      </c>
      <c r="C94" s="187">
        <f>'Detailed Feasibility Inputs'!$C$42</f>
        <v>5</v>
      </c>
      <c r="D94" s="20">
        <f>IF(C94&gt;0,('Detailed Feasibility Inputs'!$E$54+('Detailed Feasibility Inputs'!$E$54*'Detailed Feasibility Inputs'!$E$59)+('Detailed Feasibility Inputs'!$F$110/'Detailed Feasibility Inputs'!$C$47)),0)</f>
        <v>446744.44444444444</v>
      </c>
      <c r="E94" s="329">
        <v>0.45</v>
      </c>
      <c r="F94" s="20">
        <f t="shared" ref="F94:F98" si="7">D94*$E$93</f>
        <v>201035</v>
      </c>
      <c r="G94" s="517">
        <f>IF(C94=0,0,$F$94*$G$92)</f>
        <v>0</v>
      </c>
      <c r="H94" s="20">
        <f>IF(D94=0,0,$F$94*$H$92)</f>
        <v>60310.5</v>
      </c>
      <c r="I94" s="20">
        <f>IF(C94=0,0,$F$94*$I$92)</f>
        <v>60310.5</v>
      </c>
      <c r="J94" s="21">
        <f>IF(C94=0,0,$F$94*$J$92)</f>
        <v>80414</v>
      </c>
      <c r="K94" s="21">
        <f>$F$94*$C$94</f>
        <v>1005175</v>
      </c>
      <c r="L94" s="521"/>
      <c r="M94" s="521"/>
      <c r="N94" s="522"/>
      <c r="O94" s="522"/>
      <c r="P94" s="522"/>
      <c r="Q94" s="522"/>
      <c r="R94" s="508"/>
      <c r="S94" s="508"/>
      <c r="T94" s="508"/>
      <c r="U94" s="508"/>
      <c r="V94" s="508"/>
      <c r="W94" s="508"/>
      <c r="BM94" s="1"/>
      <c r="BN94" s="1"/>
    </row>
    <row r="95" spans="2:66" x14ac:dyDescent="0.25">
      <c r="B95" s="489" t="str">
        <f>'Detailed Feasibility Inputs'!$B$43</f>
        <v>3 Bed</v>
      </c>
      <c r="C95" s="187">
        <f>'Detailed Feasibility Inputs'!$C$43</f>
        <v>4</v>
      </c>
      <c r="D95" s="20">
        <f>IF(C95&gt;0,('Detailed Feasibility Inputs'!$E$55+('Detailed Feasibility Inputs'!$E$55*'Detailed Feasibility Inputs'!$E$59)+('Detailed Feasibility Inputs'!$F$110/'Detailed Feasibility Inputs'!$C$47)),0)</f>
        <v>532994.4444444445</v>
      </c>
      <c r="E95" s="329">
        <v>0.45</v>
      </c>
      <c r="F95" s="20">
        <f t="shared" si="7"/>
        <v>239847.50000000003</v>
      </c>
      <c r="G95" s="517">
        <f>IF(C95=0,0,$F$95*$G$92)</f>
        <v>0</v>
      </c>
      <c r="H95" s="20">
        <f>IF(D95=0,0,$F$95*$H$92)</f>
        <v>71954.25</v>
      </c>
      <c r="I95" s="20">
        <f>IF(C95=0,0,$F$95*$I$92)</f>
        <v>71954.25</v>
      </c>
      <c r="J95" s="21">
        <f>IF(C95=0,0,$F$95*$J$92)</f>
        <v>95939.000000000015</v>
      </c>
      <c r="K95" s="21">
        <f>$F$95*$C$95</f>
        <v>959390.00000000012</v>
      </c>
      <c r="L95" s="521"/>
      <c r="M95" s="521"/>
      <c r="N95" s="522"/>
      <c r="O95" s="522"/>
      <c r="P95" s="522"/>
      <c r="Q95" s="522"/>
      <c r="R95" s="508"/>
      <c r="S95" s="508"/>
      <c r="T95" s="508"/>
      <c r="U95" s="508"/>
      <c r="V95" s="508"/>
      <c r="W95" s="508"/>
      <c r="BM95" s="1"/>
      <c r="BN95" s="1"/>
    </row>
    <row r="96" spans="2:66" x14ac:dyDescent="0.25">
      <c r="B96" s="489" t="str">
        <f>'Detailed Feasibility Inputs'!$B$44</f>
        <v>4 Bed</v>
      </c>
      <c r="C96" s="187">
        <f>'Detailed Feasibility Inputs'!$C$44</f>
        <v>6</v>
      </c>
      <c r="D96" s="20">
        <f>IF(C96&gt;0,('Detailed Feasibility Inputs'!$E$56+('Detailed Feasibility Inputs'!$E$56*'Detailed Feasibility Inputs'!$E$59)+('Detailed Feasibility Inputs'!$F$110/'Detailed Feasibility Inputs'!$C$47)),0)</f>
        <v>636494.4444444445</v>
      </c>
      <c r="E96" s="329">
        <v>0.45</v>
      </c>
      <c r="F96" s="20">
        <f t="shared" si="7"/>
        <v>286422.50000000006</v>
      </c>
      <c r="G96" s="517">
        <f>IF(C96=0,0,$F$96*$G$92)</f>
        <v>0</v>
      </c>
      <c r="H96" s="20">
        <f>IF(D96=0,0,$F$96*$H$92)</f>
        <v>85926.750000000015</v>
      </c>
      <c r="I96" s="20">
        <f>IF(C96=0,0,$F$96*$I$92)</f>
        <v>85926.750000000015</v>
      </c>
      <c r="J96" s="21">
        <f>IF(C96=0,0,$F$96*$J$92)</f>
        <v>114569.00000000003</v>
      </c>
      <c r="K96" s="21">
        <f>$F$96*$C$96</f>
        <v>1718535.0000000005</v>
      </c>
      <c r="L96" s="521"/>
      <c r="M96" s="521"/>
      <c r="N96" s="522"/>
      <c r="O96" s="522"/>
      <c r="P96" s="522"/>
      <c r="Q96" s="522"/>
      <c r="R96" s="508"/>
      <c r="S96" s="508"/>
      <c r="T96" s="508"/>
      <c r="U96" s="508"/>
      <c r="V96" s="508"/>
      <c r="W96" s="508"/>
      <c r="BM96" s="1"/>
      <c r="BN96" s="1"/>
    </row>
    <row r="97" spans="2:66" x14ac:dyDescent="0.25">
      <c r="B97" s="489" t="str">
        <f>'Detailed Feasibility Inputs'!$B$45</f>
        <v>5 Bed</v>
      </c>
      <c r="C97" s="187">
        <f>'Detailed Feasibility Inputs'!$C$45</f>
        <v>0</v>
      </c>
      <c r="D97" s="20">
        <f>IF(C97&gt;0,('Detailed Feasibility Inputs'!$E$57+('Detailed Feasibility Inputs'!$E$57*'Detailed Feasibility Inputs'!$E$59)+('Detailed Feasibility Inputs'!$F$110/'Detailed Feasibility Inputs'!$C$47)),0)</f>
        <v>0</v>
      </c>
      <c r="E97" s="329">
        <v>0.45</v>
      </c>
      <c r="F97" s="20">
        <f t="shared" si="7"/>
        <v>0</v>
      </c>
      <c r="G97" s="517">
        <f>IF(C97=0,0,$F$97*$G$92)</f>
        <v>0</v>
      </c>
      <c r="H97" s="20">
        <f>IF(D97=0,0,$F$97*$H$92)</f>
        <v>0</v>
      </c>
      <c r="I97" s="20">
        <f>IF(C97=0,0,$F$97*$I$92)</f>
        <v>0</v>
      </c>
      <c r="J97" s="21">
        <f>IF(C97=0,0,$F$97*$J$92)</f>
        <v>0</v>
      </c>
      <c r="K97" s="21">
        <f>$F$97*$C$97</f>
        <v>0</v>
      </c>
      <c r="L97" s="521"/>
      <c r="M97" s="521"/>
      <c r="N97" s="522"/>
      <c r="O97" s="522"/>
      <c r="P97" s="522"/>
      <c r="Q97" s="522"/>
      <c r="R97" s="508"/>
      <c r="S97" s="508"/>
      <c r="T97" s="508"/>
      <c r="U97" s="508"/>
      <c r="V97" s="508"/>
      <c r="W97" s="508"/>
      <c r="BM97" s="1"/>
      <c r="BN97" s="1"/>
    </row>
    <row r="98" spans="2:66" x14ac:dyDescent="0.25">
      <c r="B98" s="489" t="str">
        <f>'Detailed Feasibility Inputs'!$B$46</f>
        <v>6 Bed</v>
      </c>
      <c r="C98" s="187">
        <f>'Detailed Feasibility Inputs'!$C$46</f>
        <v>0</v>
      </c>
      <c r="D98" s="20">
        <f>IF(C98&gt;0,('Detailed Feasibility Inputs'!$E$58+('Detailed Feasibility Inputs'!$E$58*'Detailed Feasibility Inputs'!$E$59)+('Detailed Feasibility Inputs'!$F$110/'Detailed Feasibility Inputs'!$C$47)),0)</f>
        <v>0</v>
      </c>
      <c r="E98" s="329">
        <v>0.45</v>
      </c>
      <c r="F98" s="20">
        <f t="shared" si="7"/>
        <v>0</v>
      </c>
      <c r="G98" s="519">
        <f>IF(C98=0,0,$F$98*$G$92)</f>
        <v>0</v>
      </c>
      <c r="H98" s="360">
        <f>IF(D98=0,0,$F$98*$H$92)</f>
        <v>0</v>
      </c>
      <c r="I98" s="360">
        <f>IF(C98=0,0,$F$93*$I$92)</f>
        <v>0</v>
      </c>
      <c r="J98" s="413">
        <f>IF(C98=0,0,$F$98*$J$92)</f>
        <v>0</v>
      </c>
      <c r="K98" s="413">
        <f>($F$98*'Detailed Feasibility Inputs'!C46)*$E$98</f>
        <v>0</v>
      </c>
      <c r="L98" s="521"/>
      <c r="M98" s="521"/>
      <c r="N98" s="522"/>
      <c r="O98" s="522"/>
      <c r="P98" s="522"/>
      <c r="Q98" s="522"/>
      <c r="R98" s="508"/>
      <c r="S98" s="508"/>
      <c r="T98" s="508"/>
      <c r="U98" s="508"/>
      <c r="V98" s="508"/>
      <c r="W98" s="508"/>
      <c r="BM98" s="1"/>
      <c r="BN98" s="1"/>
    </row>
    <row r="99" spans="2:66" x14ac:dyDescent="0.25">
      <c r="B99" s="638" t="s">
        <v>372</v>
      </c>
      <c r="C99" s="640" t="s">
        <v>457</v>
      </c>
      <c r="D99" s="641"/>
      <c r="E99" s="641"/>
      <c r="F99" s="642"/>
      <c r="G99" s="649" t="s">
        <v>128</v>
      </c>
      <c r="H99" s="616"/>
      <c r="I99" s="616"/>
      <c r="J99" s="650"/>
      <c r="K99" s="529" t="s">
        <v>129</v>
      </c>
      <c r="L99" s="521"/>
      <c r="M99" s="521"/>
      <c r="N99" s="522"/>
      <c r="O99" s="522"/>
      <c r="P99" s="522"/>
      <c r="Q99" s="522"/>
      <c r="R99" s="508"/>
      <c r="S99" s="508"/>
      <c r="T99" s="508"/>
      <c r="U99" s="508"/>
      <c r="V99" s="508"/>
      <c r="W99" s="508"/>
      <c r="BM99" s="1"/>
      <c r="BN99" s="1"/>
    </row>
    <row r="100" spans="2:66" x14ac:dyDescent="0.25">
      <c r="B100" s="639"/>
      <c r="C100" s="643"/>
      <c r="D100" s="644"/>
      <c r="E100" s="644"/>
      <c r="F100" s="645"/>
      <c r="G100" s="360">
        <f>$G$92*$K$100</f>
        <v>0</v>
      </c>
      <c r="H100" s="360">
        <f>$H$92*$K$100</f>
        <v>1250930.25</v>
      </c>
      <c r="I100" s="360">
        <f>$I$92*$K$100</f>
        <v>1250930.25</v>
      </c>
      <c r="J100" s="413">
        <f>$J$92*$K$100</f>
        <v>1667907.0000000002</v>
      </c>
      <c r="K100" s="530">
        <f>SUM($K$93:$K$98)</f>
        <v>4169767.5000000005</v>
      </c>
      <c r="L100" s="521"/>
      <c r="M100" s="521"/>
      <c r="N100" s="522"/>
      <c r="O100" s="522"/>
      <c r="P100" s="522"/>
      <c r="Q100" s="522"/>
      <c r="R100" s="508"/>
      <c r="S100" s="508"/>
      <c r="T100" s="508"/>
      <c r="U100" s="508"/>
      <c r="V100" s="508"/>
      <c r="W100" s="508"/>
      <c r="BM100" s="1"/>
      <c r="BN100" s="1"/>
    </row>
    <row r="101" spans="2:66" s="1" customFormat="1" x14ac:dyDescent="0.25">
      <c r="D101" s="46"/>
      <c r="J101" s="419"/>
      <c r="K101" s="521"/>
      <c r="L101" s="521"/>
      <c r="M101" s="521"/>
      <c r="N101" s="522"/>
      <c r="O101" s="522"/>
      <c r="P101" s="522"/>
      <c r="Q101" s="522"/>
      <c r="R101" s="508"/>
      <c r="S101" s="508"/>
      <c r="T101" s="508"/>
      <c r="U101" s="508"/>
      <c r="V101" s="508"/>
      <c r="W101" s="508"/>
    </row>
    <row r="102" spans="2:66" s="1" customFormat="1" x14ac:dyDescent="0.25">
      <c r="B102" s="393" t="s">
        <v>370</v>
      </c>
      <c r="C102" s="393"/>
      <c r="D102" s="393"/>
      <c r="E102" s="393"/>
      <c r="J102" s="419"/>
      <c r="K102" s="521"/>
      <c r="L102" s="521"/>
      <c r="M102" s="521"/>
      <c r="N102" s="522"/>
      <c r="O102" s="522"/>
      <c r="P102" s="522"/>
      <c r="Q102" s="522"/>
      <c r="R102" s="508"/>
      <c r="S102" s="508"/>
      <c r="T102" s="508"/>
      <c r="U102" s="508"/>
      <c r="V102" s="508"/>
      <c r="W102" s="508"/>
      <c r="X102" s="15"/>
      <c r="Y102" s="15"/>
      <c r="Z102" s="15"/>
    </row>
    <row r="103" spans="2:66" s="1" customFormat="1" x14ac:dyDescent="0.25">
      <c r="K103" s="521"/>
      <c r="L103" s="521"/>
      <c r="M103" s="521"/>
      <c r="N103" s="508"/>
      <c r="O103" s="522"/>
      <c r="P103" s="522"/>
      <c r="Q103" s="522"/>
      <c r="R103" s="522"/>
      <c r="S103" s="508"/>
      <c r="T103" s="508"/>
      <c r="U103" s="508"/>
      <c r="V103" s="508"/>
      <c r="W103" s="508"/>
      <c r="X103" s="15"/>
      <c r="Y103" s="15"/>
      <c r="Z103" s="15"/>
      <c r="AK103" s="518"/>
      <c r="AL103" s="460"/>
      <c r="AN103" s="461"/>
      <c r="AO103" s="276"/>
    </row>
    <row r="104" spans="2:66" s="1" customFormat="1" x14ac:dyDescent="0.25">
      <c r="B104" s="531" t="s">
        <v>131</v>
      </c>
      <c r="C104" s="532" t="s">
        <v>132</v>
      </c>
      <c r="D104" s="532" t="s">
        <v>49</v>
      </c>
      <c r="E104" s="533" t="s">
        <v>133</v>
      </c>
      <c r="J104" s="49"/>
      <c r="K104" s="521"/>
      <c r="L104" s="521"/>
      <c r="M104" s="521"/>
      <c r="N104" s="508"/>
      <c r="O104" s="522"/>
      <c r="P104" s="522"/>
      <c r="Q104" s="522"/>
      <c r="R104" s="522"/>
      <c r="S104" s="508"/>
      <c r="T104" s="15"/>
      <c r="U104" s="15"/>
      <c r="V104" s="15"/>
      <c r="W104" s="15"/>
      <c r="X104" s="15"/>
      <c r="Y104" s="15"/>
      <c r="Z104" s="15"/>
      <c r="AK104" s="518"/>
      <c r="AL104" s="460"/>
      <c r="AN104" s="461"/>
      <c r="AO104" s="276"/>
    </row>
    <row r="105" spans="2:66" s="1" customFormat="1" x14ac:dyDescent="0.25">
      <c r="B105" s="489" t="s">
        <v>134</v>
      </c>
      <c r="C105" s="316">
        <f t="shared" ref="C105:C110" si="8">$D105/$D$111</f>
        <v>1</v>
      </c>
      <c r="D105" s="59">
        <f>$K$100</f>
        <v>4169767.5000000005</v>
      </c>
      <c r="E105" s="534"/>
      <c r="J105" s="49"/>
      <c r="K105" s="419"/>
      <c r="L105" s="419"/>
      <c r="M105" s="520"/>
      <c r="N105" s="15"/>
      <c r="O105" s="232"/>
      <c r="P105" s="232"/>
      <c r="Q105" s="232"/>
      <c r="R105" s="232"/>
      <c r="S105" s="15"/>
      <c r="T105" s="15"/>
      <c r="U105" s="15"/>
      <c r="V105" s="15"/>
      <c r="W105" s="15"/>
      <c r="X105" s="15"/>
      <c r="Y105" s="15"/>
      <c r="Z105" s="15"/>
      <c r="AK105" s="518"/>
      <c r="AL105" s="460"/>
      <c r="AN105" s="461"/>
      <c r="AO105" s="276"/>
    </row>
    <row r="106" spans="2:66" s="1" customFormat="1" x14ac:dyDescent="0.25">
      <c r="B106" s="61" t="s">
        <v>135</v>
      </c>
      <c r="C106" s="316">
        <f t="shared" si="8"/>
        <v>0</v>
      </c>
      <c r="D106" s="25">
        <v>0</v>
      </c>
      <c r="E106" s="60">
        <v>1</v>
      </c>
      <c r="J106" s="49"/>
      <c r="K106" s="419"/>
      <c r="L106" s="419"/>
      <c r="M106" s="520"/>
      <c r="N106" s="15"/>
      <c r="O106" s="232"/>
      <c r="P106" s="232"/>
      <c r="Q106" s="232"/>
      <c r="R106" s="232"/>
      <c r="S106" s="15"/>
      <c r="T106" s="15"/>
      <c r="U106" s="15"/>
      <c r="V106" s="15"/>
      <c r="W106" s="15"/>
      <c r="X106" s="15"/>
      <c r="Y106" s="15"/>
      <c r="Z106" s="15"/>
      <c r="AK106" s="518"/>
      <c r="AL106" s="460"/>
      <c r="AN106" s="461"/>
      <c r="AO106" s="276"/>
    </row>
    <row r="107" spans="2:66" s="1" customFormat="1" x14ac:dyDescent="0.25">
      <c r="B107" s="61" t="s">
        <v>136</v>
      </c>
      <c r="C107" s="316">
        <f t="shared" si="8"/>
        <v>0</v>
      </c>
      <c r="D107" s="25">
        <v>0</v>
      </c>
      <c r="E107" s="60">
        <v>0</v>
      </c>
      <c r="J107" s="49"/>
      <c r="K107" s="419"/>
      <c r="L107" s="419"/>
      <c r="M107" s="520"/>
      <c r="N107" s="15"/>
      <c r="O107" s="232"/>
      <c r="P107" s="232"/>
      <c r="Q107" s="232"/>
      <c r="R107" s="232"/>
      <c r="S107" s="15"/>
      <c r="T107" s="15"/>
      <c r="U107" s="15"/>
      <c r="V107" s="15"/>
      <c r="W107" s="15"/>
      <c r="X107" s="15"/>
      <c r="Y107" s="15"/>
      <c r="Z107" s="15"/>
      <c r="AK107" s="518"/>
      <c r="AL107" s="460"/>
      <c r="AN107" s="461"/>
      <c r="AO107" s="276"/>
    </row>
    <row r="108" spans="2:66" s="1" customFormat="1" x14ac:dyDescent="0.25">
      <c r="B108" s="61" t="s">
        <v>136</v>
      </c>
      <c r="C108" s="316">
        <f t="shared" si="8"/>
        <v>0</v>
      </c>
      <c r="D108" s="25">
        <v>0</v>
      </c>
      <c r="E108" s="60">
        <v>0</v>
      </c>
      <c r="J108" s="49"/>
      <c r="K108" s="419"/>
      <c r="L108" s="419"/>
      <c r="M108" s="520"/>
      <c r="N108" s="15"/>
      <c r="O108" s="232"/>
      <c r="P108" s="232"/>
      <c r="Q108" s="232"/>
      <c r="R108" s="232"/>
      <c r="S108" s="15"/>
      <c r="T108" s="15"/>
      <c r="U108" s="15"/>
      <c r="V108" s="15"/>
      <c r="W108" s="15"/>
      <c r="X108" s="15"/>
      <c r="Y108" s="15"/>
      <c r="Z108" s="15"/>
      <c r="AK108" s="518"/>
      <c r="AL108" s="460"/>
      <c r="AN108" s="461"/>
      <c r="AO108" s="276"/>
    </row>
    <row r="109" spans="2:66" s="1" customFormat="1" x14ac:dyDescent="0.25">
      <c r="B109" s="61" t="s">
        <v>136</v>
      </c>
      <c r="C109" s="316">
        <f t="shared" si="8"/>
        <v>0</v>
      </c>
      <c r="D109" s="25">
        <v>0</v>
      </c>
      <c r="E109" s="60">
        <v>0</v>
      </c>
      <c r="J109" s="49"/>
      <c r="K109" s="419"/>
      <c r="L109" s="419"/>
      <c r="M109" s="520"/>
      <c r="N109" s="15"/>
      <c r="O109" s="232"/>
      <c r="P109" s="232"/>
      <c r="Q109" s="232"/>
      <c r="R109" s="232"/>
      <c r="S109" s="15"/>
      <c r="T109" s="15"/>
      <c r="U109" s="15"/>
      <c r="V109" s="15"/>
      <c r="W109" s="15"/>
      <c r="X109" s="15"/>
      <c r="Y109" s="15"/>
      <c r="Z109" s="15"/>
      <c r="AK109" s="518"/>
      <c r="AL109" s="460"/>
      <c r="AN109" s="461"/>
      <c r="AO109" s="276"/>
    </row>
    <row r="110" spans="2:66" s="1" customFormat="1" x14ac:dyDescent="0.25">
      <c r="B110" s="61" t="s">
        <v>136</v>
      </c>
      <c r="C110" s="316">
        <f t="shared" si="8"/>
        <v>0</v>
      </c>
      <c r="D110" s="25">
        <v>0</v>
      </c>
      <c r="E110" s="60">
        <v>0</v>
      </c>
      <c r="J110" s="49"/>
      <c r="K110" s="419"/>
      <c r="L110" s="419"/>
      <c r="M110" s="520"/>
      <c r="N110" s="15"/>
      <c r="O110" s="232"/>
      <c r="P110" s="232"/>
      <c r="Q110" s="232"/>
      <c r="R110" s="232"/>
      <c r="S110" s="15"/>
      <c r="T110" s="15"/>
      <c r="U110" s="15"/>
      <c r="V110" s="15"/>
      <c r="W110" s="15"/>
      <c r="X110" s="15"/>
      <c r="Y110" s="15"/>
      <c r="Z110" s="15"/>
      <c r="AK110" s="518"/>
      <c r="AL110" s="460"/>
      <c r="AN110" s="461"/>
      <c r="AO110" s="276"/>
    </row>
    <row r="111" spans="2:66" s="1" customFormat="1" x14ac:dyDescent="0.25">
      <c r="B111" s="535" t="s">
        <v>362</v>
      </c>
      <c r="C111" s="66">
        <f>SUM($C$105:$C$110)</f>
        <v>1</v>
      </c>
      <c r="D111" s="305">
        <f>SUM($D$105:$D$110)</f>
        <v>4169767.5000000005</v>
      </c>
      <c r="E111" s="534"/>
      <c r="J111" s="49"/>
      <c r="K111" s="419"/>
      <c r="L111" s="419"/>
      <c r="M111" s="520"/>
      <c r="N111" s="15"/>
      <c r="O111" s="232"/>
      <c r="P111" s="232"/>
      <c r="Q111" s="232"/>
      <c r="R111" s="232"/>
      <c r="S111" s="15"/>
      <c r="T111" s="15"/>
      <c r="U111" s="15"/>
      <c r="V111" s="15"/>
      <c r="W111" s="15"/>
      <c r="X111" s="15"/>
      <c r="Y111" s="15"/>
      <c r="Z111" s="15"/>
      <c r="AK111" s="518"/>
      <c r="AL111" s="460"/>
      <c r="AN111" s="461"/>
      <c r="AO111" s="276"/>
    </row>
    <row r="112" spans="2:66" s="1" customFormat="1" x14ac:dyDescent="0.25">
      <c r="B112" s="536" t="s">
        <v>355</v>
      </c>
      <c r="C112" s="306">
        <v>0.06</v>
      </c>
      <c r="D112" s="315"/>
      <c r="E112" s="537"/>
      <c r="J112" s="49"/>
      <c r="K112" s="419"/>
      <c r="L112" s="419"/>
      <c r="M112" s="520"/>
      <c r="N112" s="15"/>
      <c r="O112" s="232"/>
      <c r="P112" s="232"/>
      <c r="Q112" s="232"/>
      <c r="R112" s="232"/>
      <c r="S112" s="15"/>
      <c r="T112" s="15"/>
      <c r="U112" s="15"/>
      <c r="V112" s="15"/>
      <c r="W112" s="15"/>
      <c r="X112" s="15"/>
      <c r="Y112" s="15"/>
      <c r="Z112" s="15"/>
      <c r="AK112" s="518"/>
      <c r="AL112" s="460"/>
      <c r="AN112" s="461"/>
      <c r="AO112" s="276"/>
    </row>
    <row r="113" spans="2:65" s="1" customFormat="1" x14ac:dyDescent="0.25">
      <c r="J113" s="49"/>
      <c r="K113" s="419"/>
      <c r="L113" s="419"/>
      <c r="M113" s="520"/>
      <c r="N113" s="15"/>
      <c r="O113" s="232"/>
      <c r="P113" s="232"/>
      <c r="Q113" s="232"/>
      <c r="R113" s="232"/>
      <c r="S113" s="15"/>
      <c r="T113" s="15"/>
      <c r="U113" s="15"/>
      <c r="V113" s="15"/>
      <c r="W113" s="15"/>
      <c r="X113" s="15"/>
      <c r="Y113" s="15"/>
      <c r="Z113" s="15"/>
      <c r="AK113" s="518"/>
      <c r="AL113" s="460"/>
      <c r="AN113" s="461"/>
      <c r="AO113" s="276"/>
    </row>
    <row r="114" spans="2:65" s="1" customFormat="1" x14ac:dyDescent="0.25">
      <c r="B114" s="648" t="s">
        <v>366</v>
      </c>
      <c r="C114" s="648"/>
      <c r="D114" s="648"/>
      <c r="E114" s="648"/>
      <c r="F114" s="648"/>
      <c r="G114" s="648"/>
      <c r="H114" s="648"/>
      <c r="I114" s="648"/>
      <c r="J114" s="648"/>
      <c r="K114" s="648"/>
      <c r="L114" s="648"/>
      <c r="M114" s="520"/>
      <c r="N114" s="15"/>
      <c r="O114" s="232"/>
      <c r="P114" s="232"/>
      <c r="Q114" s="232"/>
      <c r="R114" s="232"/>
      <c r="S114" s="15"/>
      <c r="T114" s="15"/>
      <c r="U114" s="15"/>
      <c r="V114" s="15"/>
      <c r="W114" s="15"/>
      <c r="X114" s="15"/>
      <c r="Y114" s="15"/>
      <c r="Z114" s="15"/>
      <c r="AK114" s="518"/>
      <c r="AL114" s="460"/>
      <c r="AN114" s="461"/>
      <c r="AO114" s="276"/>
    </row>
    <row r="115" spans="2:65" s="1" customFormat="1" x14ac:dyDescent="0.25">
      <c r="B115" s="427"/>
      <c r="C115" s="427"/>
      <c r="D115" s="427"/>
      <c r="E115" s="427"/>
      <c r="F115" s="427"/>
      <c r="G115" s="427"/>
      <c r="H115" s="427"/>
      <c r="I115" s="427"/>
      <c r="J115" s="427"/>
      <c r="K115" s="419"/>
      <c r="L115" s="419"/>
      <c r="M115" s="520"/>
      <c r="N115" s="15"/>
      <c r="O115" s="232"/>
      <c r="P115" s="232"/>
      <c r="Q115" s="232"/>
      <c r="R115" s="232"/>
      <c r="S115" s="15"/>
      <c r="T115" s="15"/>
      <c r="U115" s="15"/>
      <c r="V115" s="15"/>
      <c r="W115" s="15"/>
      <c r="X115" s="15"/>
      <c r="Y115" s="15"/>
      <c r="Z115" s="15"/>
      <c r="AK115" s="518"/>
      <c r="AL115" s="460"/>
      <c r="AN115" s="461"/>
      <c r="AO115" s="276"/>
    </row>
    <row r="116" spans="2:65" s="1" customFormat="1" ht="14.25" customHeight="1" x14ac:dyDescent="0.25">
      <c r="B116" s="538"/>
      <c r="C116" s="539"/>
      <c r="D116" s="539" t="s">
        <v>42</v>
      </c>
      <c r="E116" s="539" t="s">
        <v>111</v>
      </c>
      <c r="F116" s="539">
        <f>'Detailed Feasibility'!$D$50/'Detailed Feasibility'!$D$50</f>
        <v>1</v>
      </c>
      <c r="G116" s="539">
        <f>IF(F116&lt;'Detailed Feasibility'!$D$50,F116+1,"")</f>
        <v>2</v>
      </c>
      <c r="H116" s="539">
        <f>IF(G116&lt;'Detailed Feasibility'!$D$50,G116+1,"")</f>
        <v>3</v>
      </c>
      <c r="I116" s="539">
        <f>IF(H116&lt;'Detailed Feasibility'!$D$50,H116+1,"")</f>
        <v>4</v>
      </c>
      <c r="J116" s="539">
        <f>IF(I116&lt;'Detailed Feasibility'!$D$50,I116+1,"")</f>
        <v>5</v>
      </c>
      <c r="K116" s="539">
        <f>IF(J116&lt;'Detailed Feasibility'!$D$50,J116+1,"")</f>
        <v>6</v>
      </c>
      <c r="L116" s="539">
        <f>IF(K116&lt;'Detailed Feasibility'!$D$50,K116+1,"")</f>
        <v>7</v>
      </c>
      <c r="M116" s="539">
        <f>IF(L116&lt;'Detailed Feasibility'!$D$50,L116+1,"")</f>
        <v>8</v>
      </c>
      <c r="N116" s="539">
        <f>IF(M116&lt;'Detailed Feasibility'!$D$50,M116+1,"")</f>
        <v>9</v>
      </c>
      <c r="O116" s="539">
        <f>IF(N116&lt;'Detailed Feasibility'!$D$50,N116+1,"")</f>
        <v>10</v>
      </c>
      <c r="P116" s="539">
        <f>IF(O116&lt;'Detailed Feasibility'!$D$50,O116+1,"")</f>
        <v>11</v>
      </c>
      <c r="Q116" s="539">
        <f>IF(P116&lt;'Detailed Feasibility'!$D$50,P116+1,"")</f>
        <v>12</v>
      </c>
      <c r="R116" s="539">
        <f>IF(Q116&lt;'Detailed Feasibility'!$D$50,Q116+1,"")</f>
        <v>13</v>
      </c>
      <c r="S116" s="539">
        <f>IF(R116&lt;'Detailed Feasibility'!$D$50,R116+1,"")</f>
        <v>14</v>
      </c>
      <c r="T116" s="539">
        <f>IF(S116&lt;'Detailed Feasibility'!$D$50,S116+1,"")</f>
        <v>15</v>
      </c>
      <c r="U116" s="539">
        <f>IF(T116&lt;'Detailed Feasibility'!$D$50,T116+1,"")</f>
        <v>16</v>
      </c>
      <c r="V116" s="539">
        <f>IF(U116&lt;'Detailed Feasibility'!$D$50,U116+1,"")</f>
        <v>17</v>
      </c>
      <c r="W116" s="539">
        <f>IF(V116&lt;'Detailed Feasibility'!$D$50,V116+1,"")</f>
        <v>18</v>
      </c>
      <c r="X116" s="539">
        <f>IF(W116&lt;'Detailed Feasibility'!$D$50,W116+1,"")</f>
        <v>19</v>
      </c>
      <c r="Y116" s="539">
        <f>IF(X116&lt;'Detailed Feasibility'!$D$50,X116+1,"")</f>
        <v>20</v>
      </c>
      <c r="Z116" s="539">
        <f>IF(Y116&lt;'Detailed Feasibility'!$D$50,Y116+1,"")</f>
        <v>21</v>
      </c>
      <c r="AA116" s="539">
        <f>IF(Z116&lt;'Detailed Feasibility'!$D$50,Z116+1,"")</f>
        <v>22</v>
      </c>
      <c r="AB116" s="539">
        <f>IF(AA116&lt;'Detailed Feasibility'!$D$50,AA116+1,"")</f>
        <v>23</v>
      </c>
      <c r="AC116" s="539">
        <f>IF(AB116&lt;'Detailed Feasibility'!$D$50,AB116+1,"")</f>
        <v>24</v>
      </c>
      <c r="AD116" s="539">
        <f>IF(AC116&lt;'Detailed Feasibility'!$D$50,AC116+1,"")</f>
        <v>25</v>
      </c>
      <c r="AE116" s="539">
        <f>IF(AD116&lt;'Detailed Feasibility'!$D$50,AD116+1,"")</f>
        <v>26</v>
      </c>
      <c r="AF116" s="539">
        <f>IF(AE116&lt;'Detailed Feasibility'!$D$50,AE116+1,"")</f>
        <v>27</v>
      </c>
      <c r="AG116" s="539">
        <f>IF(AF116&lt;'Detailed Feasibility'!$D$50,AF116+1,"")</f>
        <v>28</v>
      </c>
      <c r="AH116" s="539">
        <f>IF(AG116&lt;'Detailed Feasibility'!$D$50,AG116+1,"")</f>
        <v>29</v>
      </c>
      <c r="AI116" s="539">
        <f>IF(AH116&lt;'Detailed Feasibility'!$D$50,AH116+1,"")</f>
        <v>30</v>
      </c>
      <c r="AJ116" s="539">
        <f>IF(AI116&lt;'Detailed Feasibility'!$D$50,AI116+1,"")</f>
        <v>31</v>
      </c>
      <c r="AK116" s="539">
        <f>IF(AJ116&lt;'Detailed Feasibility'!$D$50,AJ116+1,"")</f>
        <v>32</v>
      </c>
      <c r="AL116" s="539">
        <f>IF(AK116&lt;'Detailed Feasibility'!$D$50,AK116+1,"")</f>
        <v>33</v>
      </c>
      <c r="AM116" s="539">
        <f>IF(AL116&lt;'Detailed Feasibility'!$D$50,AL116+1,"")</f>
        <v>34</v>
      </c>
      <c r="AN116" s="539">
        <f>IF(AM116&lt;'Detailed Feasibility'!$D$50,AM116+1,"")</f>
        <v>35</v>
      </c>
      <c r="AO116" s="539">
        <f>IF(AN116&lt;'Detailed Feasibility'!$D$50,AN116+1,"")</f>
        <v>36</v>
      </c>
      <c r="AP116" s="539">
        <f>IF(AO116&lt;'Detailed Feasibility'!$D$50,AO116+1,"")</f>
        <v>37</v>
      </c>
      <c r="AQ116" s="539" t="str">
        <f>IF(AP116&lt;'Detailed Feasibility'!$D$50,AP116+1,"")</f>
        <v/>
      </c>
      <c r="AR116" s="539" t="str">
        <f>IF(AQ116&lt;'Detailed Feasibility'!$D$50,AQ116+1,"")</f>
        <v/>
      </c>
      <c r="AS116" s="539" t="str">
        <f>IF(AR116&lt;'Detailed Feasibility'!$D$50,AR116+1,"")</f>
        <v/>
      </c>
      <c r="AT116" s="539" t="str">
        <f>IF(AS116&lt;'Detailed Feasibility'!$D$50,AS116+1,"")</f>
        <v/>
      </c>
      <c r="AU116" s="539" t="str">
        <f>IF(AT116&lt;'Detailed Feasibility'!$D$50,AT116+1,"")</f>
        <v/>
      </c>
      <c r="AV116" s="539" t="str">
        <f>IF(AU116&lt;'Detailed Feasibility'!$D$50,AU116+1,"")</f>
        <v/>
      </c>
      <c r="AW116" s="539" t="str">
        <f>IF(AV116&lt;'Detailed Feasibility'!$D$50,AV116+1,"")</f>
        <v/>
      </c>
      <c r="AX116" s="539" t="str">
        <f>IF(AW116&lt;'Detailed Feasibility'!$D$50,AW116+1,"")</f>
        <v/>
      </c>
      <c r="AY116" s="539" t="str">
        <f>IF(AX116&lt;'Detailed Feasibility'!$D$50,AX116+1,"")</f>
        <v/>
      </c>
      <c r="AZ116" s="539" t="str">
        <f>IF(AY116&lt;'Detailed Feasibility'!$D$50,AY116+1,"")</f>
        <v/>
      </c>
      <c r="BA116" s="539" t="str">
        <f>IF(AZ116&lt;'Detailed Feasibility'!$D$50,AZ116+1,"")</f>
        <v/>
      </c>
      <c r="BB116" s="539" t="str">
        <f>IF(BA116&lt;'Detailed Feasibility'!$D$50,BA116+1,"")</f>
        <v/>
      </c>
      <c r="BC116" s="539" t="str">
        <f>IF(BB116&lt;'Detailed Feasibility'!$D$50,BB116+1,"")</f>
        <v/>
      </c>
      <c r="BD116" s="539" t="str">
        <f>IF(BC116&lt;'Detailed Feasibility'!$D$50,BC116+1,"")</f>
        <v/>
      </c>
      <c r="BE116" s="539" t="str">
        <f>IF(BD116&lt;'Detailed Feasibility'!$D$50,BD116+1,"")</f>
        <v/>
      </c>
      <c r="BF116" s="539" t="str">
        <f>IF(BE116&lt;'Detailed Feasibility'!$D$50,BE116+1,"")</f>
        <v/>
      </c>
      <c r="BG116" s="539" t="str">
        <f>IF(BF116&lt;'Detailed Feasibility'!$D$50,BF116+1,"")</f>
        <v/>
      </c>
      <c r="BH116" s="539" t="str">
        <f>IF(BG116&lt;'Detailed Feasibility'!$D$50,BG116+1,"")</f>
        <v/>
      </c>
      <c r="BI116" s="539" t="str">
        <f>IF(BH116&lt;'Detailed Feasibility'!$D$50,BH116+1,"")</f>
        <v/>
      </c>
      <c r="BJ116" s="539" t="str">
        <f>IF(BI116&lt;'Detailed Feasibility'!$D$50,BI116+1,"")</f>
        <v/>
      </c>
      <c r="BK116" s="539" t="str">
        <f>IF(BJ116&lt;'Detailed Feasibility'!$D$50,BJ116+1,"")</f>
        <v/>
      </c>
      <c r="BL116" s="539" t="str">
        <f>IF(BK116&lt;'Detailed Feasibility'!$D$50,BK116+1,"")</f>
        <v/>
      </c>
      <c r="BM116" s="540" t="str">
        <f>IF(BL116&lt;'Detailed Feasibility'!$D$50,BL116+1,"")</f>
        <v/>
      </c>
    </row>
    <row r="117" spans="2:65" s="1" customFormat="1" ht="21" customHeight="1" x14ac:dyDescent="0.25">
      <c r="B117" s="541" t="s">
        <v>191</v>
      </c>
      <c r="C117" s="384"/>
      <c r="D117" s="542"/>
      <c r="E117" s="542"/>
      <c r="F117" s="542"/>
      <c r="G117" s="542"/>
      <c r="H117" s="542"/>
      <c r="I117" s="542"/>
      <c r="J117" s="542"/>
      <c r="K117" s="542"/>
      <c r="L117" s="542"/>
      <c r="M117" s="542"/>
      <c r="N117" s="542"/>
      <c r="O117" s="542"/>
      <c r="P117" s="542"/>
      <c r="Q117" s="542"/>
      <c r="R117" s="542"/>
      <c r="S117" s="542"/>
      <c r="T117" s="542"/>
      <c r="U117" s="542"/>
      <c r="V117" s="542"/>
      <c r="W117" s="542"/>
      <c r="X117" s="542"/>
      <c r="Y117" s="542"/>
      <c r="Z117" s="542"/>
      <c r="AA117" s="542"/>
      <c r="AB117" s="542"/>
      <c r="AC117" s="542"/>
      <c r="AD117" s="542"/>
      <c r="AE117" s="542"/>
      <c r="AF117" s="542"/>
      <c r="AG117" s="542"/>
      <c r="AH117" s="542"/>
      <c r="AI117" s="542"/>
      <c r="AJ117" s="542"/>
      <c r="AK117" s="542"/>
      <c r="AL117" s="542"/>
      <c r="AM117" s="542"/>
      <c r="AN117" s="542"/>
      <c r="AO117" s="542"/>
      <c r="AP117" s="542"/>
      <c r="AQ117" s="542"/>
      <c r="AR117" s="542"/>
      <c r="AS117" s="542"/>
      <c r="AT117" s="542"/>
      <c r="AU117" s="542"/>
      <c r="AV117" s="542"/>
      <c r="AW117" s="542"/>
      <c r="AX117" s="542"/>
      <c r="AY117" s="542"/>
      <c r="AZ117" s="542"/>
      <c r="BA117" s="542"/>
      <c r="BB117" s="542"/>
      <c r="BC117" s="542"/>
      <c r="BD117" s="542"/>
      <c r="BE117" s="542"/>
      <c r="BF117" s="542"/>
      <c r="BG117" s="542"/>
      <c r="BH117" s="542"/>
      <c r="BI117" s="542"/>
      <c r="BJ117" s="542"/>
      <c r="BK117" s="542"/>
      <c r="BL117" s="542"/>
      <c r="BM117" s="17"/>
    </row>
    <row r="118" spans="2:65" s="1" customFormat="1" x14ac:dyDescent="0.25">
      <c r="B118" s="543" t="s">
        <v>367</v>
      </c>
      <c r="C118" s="544"/>
      <c r="D118" s="545"/>
      <c r="E118" s="545"/>
      <c r="F118" s="545"/>
      <c r="G118" s="545"/>
      <c r="H118" s="545"/>
      <c r="I118" s="545"/>
      <c r="J118" s="545"/>
      <c r="K118" s="545"/>
      <c r="L118" s="545"/>
      <c r="M118" s="545"/>
      <c r="N118" s="545"/>
      <c r="O118" s="545"/>
      <c r="P118" s="545"/>
      <c r="Q118" s="545"/>
      <c r="R118" s="545"/>
      <c r="S118" s="545"/>
      <c r="T118" s="545"/>
      <c r="U118" s="545"/>
      <c r="V118" s="545"/>
      <c r="W118" s="545"/>
      <c r="X118" s="545"/>
      <c r="Y118" s="545"/>
      <c r="Z118" s="545"/>
      <c r="AA118" s="545"/>
      <c r="AB118" s="545"/>
      <c r="AC118" s="545"/>
      <c r="AD118" s="545"/>
      <c r="AE118" s="545"/>
      <c r="AF118" s="545"/>
      <c r="AG118" s="545"/>
      <c r="AH118" s="545"/>
      <c r="AI118" s="545"/>
      <c r="AJ118" s="545"/>
      <c r="AK118" s="545"/>
      <c r="AL118" s="545"/>
      <c r="AM118" s="545"/>
      <c r="AN118" s="545"/>
      <c r="AO118" s="545"/>
      <c r="AP118" s="545"/>
      <c r="AQ118" s="545"/>
      <c r="AR118" s="545"/>
      <c r="AS118" s="545"/>
      <c r="AT118" s="545"/>
      <c r="AU118" s="545"/>
      <c r="AV118" s="545"/>
      <c r="AW118" s="545"/>
      <c r="AX118" s="545"/>
      <c r="AY118" s="545"/>
      <c r="AZ118" s="545"/>
      <c r="BA118" s="545"/>
      <c r="BB118" s="545"/>
      <c r="BC118" s="545"/>
      <c r="BD118" s="545"/>
      <c r="BE118" s="545"/>
      <c r="BF118" s="545"/>
      <c r="BG118" s="545"/>
      <c r="BH118" s="545"/>
      <c r="BI118" s="545"/>
      <c r="BJ118" s="545"/>
      <c r="BK118" s="545"/>
      <c r="BL118" s="545"/>
      <c r="BM118" s="546"/>
    </row>
    <row r="119" spans="2:65" s="1" customFormat="1" x14ac:dyDescent="0.25">
      <c r="B119" s="547" t="str">
        <f>$B93</f>
        <v>1 Bed</v>
      </c>
      <c r="C119" s="43"/>
      <c r="D119" s="20">
        <f>'Detailed Feasibility Inputs'!$I$41*'Detailed Feasibility Inputs'!$C$41</f>
        <v>720000</v>
      </c>
      <c r="E119" s="187">
        <f t="shared" ref="E119:E124" si="9">IF(SUM(F119:BM119)=D119,1,0)</f>
        <v>1</v>
      </c>
      <c r="F119" s="548">
        <f>IF(F$116="","",SUMIFS($D$65:$D$86,$C$65:$C$86,'Detailed Feasibility'!$B119,$I$65:$I$86,'Detailed Feasibility'!F$116))</f>
        <v>0</v>
      </c>
      <c r="G119" s="548">
        <f>IF(G$116="","",SUMIFS($D$65:$D$86,$C$65:$C$86,'Detailed Feasibility'!$B119,$I$65:$I$86,'Detailed Feasibility'!G$116))</f>
        <v>0</v>
      </c>
      <c r="H119" s="548">
        <f>IF(H$116="","",SUMIFS($D$65:$D$86,$C$65:$C$86,'Detailed Feasibility'!$B119,$I$65:$I$86,'Detailed Feasibility'!H$116))</f>
        <v>0</v>
      </c>
      <c r="I119" s="548">
        <f>IF(I$116="","",SUMIFS($D$65:$D$86,$C$65:$C$86,'Detailed Feasibility'!$B119,$I$65:$I$86,'Detailed Feasibility'!I$116))</f>
        <v>0</v>
      </c>
      <c r="J119" s="548">
        <f>IF(J$116="","",SUMIFS($D$65:$D$86,$C$65:$C$86,'Detailed Feasibility'!$B119,$I$65:$I$86,'Detailed Feasibility'!J$116))</f>
        <v>0</v>
      </c>
      <c r="K119" s="548">
        <f>IF(K$116="","",SUMIFS($D$65:$D$86,$C$65:$C$86,'Detailed Feasibility'!$B119,$I$65:$I$86,'Detailed Feasibility'!K$116))</f>
        <v>0</v>
      </c>
      <c r="L119" s="548">
        <f>IF(L$116="","",SUMIFS($D$65:$D$86,$C$65:$C$86,'Detailed Feasibility'!$B119,$I$65:$I$86,'Detailed Feasibility'!L$116))</f>
        <v>0</v>
      </c>
      <c r="M119" s="548">
        <f>IF(M$116="","",SUMIFS($D$65:$D$86,$C$65:$C$86,'Detailed Feasibility'!$B119,$I$65:$I$86,'Detailed Feasibility'!M$116))</f>
        <v>0</v>
      </c>
      <c r="N119" s="548">
        <f>IF(N$116="","",SUMIFS($D$65:$D$86,$C$65:$C$86,'Detailed Feasibility'!$B119,$I$65:$I$86,'Detailed Feasibility'!N$116))</f>
        <v>0</v>
      </c>
      <c r="O119" s="548">
        <f>IF(O$116="","",SUMIFS($D$65:$D$86,$C$65:$C$86,'Detailed Feasibility'!$B119,$I$65:$I$86,'Detailed Feasibility'!O$116))</f>
        <v>0</v>
      </c>
      <c r="P119" s="548">
        <f>IF(P$116="","",SUMIFS($D$65:$D$86,$C$65:$C$86,'Detailed Feasibility'!$B119,$I$65:$I$86,'Detailed Feasibility'!P$116))</f>
        <v>0</v>
      </c>
      <c r="Q119" s="548">
        <f>IF(Q$116="","",SUMIFS($D$65:$D$86,$C$65:$C$86,'Detailed Feasibility'!$B119,$I$65:$I$86,'Detailed Feasibility'!Q$116))</f>
        <v>0</v>
      </c>
      <c r="R119" s="548">
        <f>IF(R$116="","",SUMIFS($D$65:$D$86,$C$65:$C$86,'Detailed Feasibility'!$B119,$I$65:$I$86,'Detailed Feasibility'!R$116))</f>
        <v>0</v>
      </c>
      <c r="S119" s="548">
        <f>IF(S$116="","",SUMIFS($D$65:$D$86,$C$65:$C$86,'Detailed Feasibility'!$B119,$I$65:$I$86,'Detailed Feasibility'!S$116))</f>
        <v>0</v>
      </c>
      <c r="T119" s="548">
        <f>IF(T$116="","",SUMIFS($D$65:$D$86,$C$65:$C$86,'Detailed Feasibility'!$B119,$I$65:$I$86,'Detailed Feasibility'!T$116))</f>
        <v>0</v>
      </c>
      <c r="U119" s="548">
        <f>IF(U$116="","",SUMIFS($D$65:$D$86,$C$65:$C$86,'Detailed Feasibility'!$B119,$I$65:$I$86,'Detailed Feasibility'!U$116))</f>
        <v>0</v>
      </c>
      <c r="V119" s="548">
        <f>IF(V$116="","",SUMIFS($D$65:$D$86,$C$65:$C$86,'Detailed Feasibility'!$B119,$I$65:$I$86,'Detailed Feasibility'!V$116))</f>
        <v>0</v>
      </c>
      <c r="W119" s="548">
        <f>IF(W$116="","",SUMIFS($D$65:$D$86,$C$65:$C$86,'Detailed Feasibility'!$B119,$I$65:$I$86,'Detailed Feasibility'!W$116))</f>
        <v>0</v>
      </c>
      <c r="X119" s="548">
        <f>IF(X$116="","",SUMIFS($D$65:$D$86,$C$65:$C$86,'Detailed Feasibility'!$B119,$I$65:$I$86,'Detailed Feasibility'!X$116))</f>
        <v>720000</v>
      </c>
      <c r="Y119" s="548">
        <f>IF(Y$116="","",SUMIFS($D$65:$D$86,$C$65:$C$86,'Detailed Feasibility'!$B119,$I$65:$I$86,'Detailed Feasibility'!Y$116))</f>
        <v>0</v>
      </c>
      <c r="Z119" s="548">
        <f>IF(Z$116="","",SUMIFS($D$65:$D$86,$C$65:$C$86,'Detailed Feasibility'!$B119,$I$65:$I$86,'Detailed Feasibility'!Z$116))</f>
        <v>0</v>
      </c>
      <c r="AA119" s="548">
        <f>IF(AA$116="","",SUMIFS($D$65:$D$86,$C$65:$C$86,'Detailed Feasibility'!$B119,$I$65:$I$86,'Detailed Feasibility'!AA$116))</f>
        <v>0</v>
      </c>
      <c r="AB119" s="548">
        <f>IF(AB$116="","",SUMIFS($D$65:$D$86,$C$65:$C$86,'Detailed Feasibility'!$B119,$I$65:$I$86,'Detailed Feasibility'!AB$116))</f>
        <v>0</v>
      </c>
      <c r="AC119" s="548">
        <f>IF(AC$116="","",SUMIFS($D$65:$D$86,$C$65:$C$86,'Detailed Feasibility'!$B119,$I$65:$I$86,'Detailed Feasibility'!AC$116))</f>
        <v>0</v>
      </c>
      <c r="AD119" s="548">
        <f>IF(AD$116="","",SUMIFS($D$65:$D$86,$C$65:$C$86,'Detailed Feasibility'!$B119,$I$65:$I$86,'Detailed Feasibility'!AD$116))</f>
        <v>0</v>
      </c>
      <c r="AE119" s="548">
        <f>IF(AE$116="","",SUMIFS($D$65:$D$86,$C$65:$C$86,'Detailed Feasibility'!$B119,$I$65:$I$86,'Detailed Feasibility'!AE$116))</f>
        <v>0</v>
      </c>
      <c r="AF119" s="548">
        <f>IF(AF$116="","",SUMIFS($D$65:$D$86,$C$65:$C$86,'Detailed Feasibility'!$B119,$I$65:$I$86,'Detailed Feasibility'!AF$116))</f>
        <v>0</v>
      </c>
      <c r="AG119" s="548">
        <f>IF(AG$116="","",SUMIFS($D$65:$D$86,$C$65:$C$86,'Detailed Feasibility'!$B119,$I$65:$I$86,'Detailed Feasibility'!AG$116))</f>
        <v>0</v>
      </c>
      <c r="AH119" s="548">
        <f>IF(AH$116="","",SUMIFS($D$65:$D$86,$C$65:$C$86,'Detailed Feasibility'!$B119,$I$65:$I$86,'Detailed Feasibility'!AH$116))</f>
        <v>0</v>
      </c>
      <c r="AI119" s="548">
        <f>IF(AI$116="","",SUMIFS($D$65:$D$86,$C$65:$C$86,'Detailed Feasibility'!$B119,$I$65:$I$86,'Detailed Feasibility'!AI$116))</f>
        <v>0</v>
      </c>
      <c r="AJ119" s="548">
        <f>IF(AJ$116="","",SUMIFS($D$65:$D$86,$C$65:$C$86,'Detailed Feasibility'!$B119,$I$65:$I$86,'Detailed Feasibility'!AJ$116))</f>
        <v>0</v>
      </c>
      <c r="AK119" s="548">
        <f>IF(AK$116="","",SUMIFS($D$65:$D$86,$C$65:$C$86,'Detailed Feasibility'!$B119,$I$65:$I$86,'Detailed Feasibility'!AK$116))</f>
        <v>0</v>
      </c>
      <c r="AL119" s="548">
        <f>IF(AL$116="","",SUMIFS($D$65:$D$86,$C$65:$C$86,'Detailed Feasibility'!$B119,$I$65:$I$86,'Detailed Feasibility'!AL$116))</f>
        <v>0</v>
      </c>
      <c r="AM119" s="548">
        <f>IF(AM$116="","",SUMIFS($D$65:$D$86,$C$65:$C$86,'Detailed Feasibility'!$B119,$I$65:$I$86,'Detailed Feasibility'!AM$116))</f>
        <v>0</v>
      </c>
      <c r="AN119" s="548">
        <f>IF(AN$116="","",SUMIFS($D$65:$D$86,$C$65:$C$86,'Detailed Feasibility'!$B119,$I$65:$I$86,'Detailed Feasibility'!AN$116))</f>
        <v>0</v>
      </c>
      <c r="AO119" s="548">
        <f>IF(AO$116="","",SUMIFS($D$65:$D$86,$C$65:$C$86,'Detailed Feasibility'!$B119,$I$65:$I$86,'Detailed Feasibility'!AO$116))</f>
        <v>0</v>
      </c>
      <c r="AP119" s="548">
        <f>IF(AP$116="","",SUMIFS($D$65:$D$86,$C$65:$C$86,'Detailed Feasibility'!$B119,$I$65:$I$86,'Detailed Feasibility'!AP$116))</f>
        <v>0</v>
      </c>
      <c r="AQ119" s="548" t="str">
        <f>IF(AQ$116="","",SUMIFS($D$65:$D$86,$C$65:$C$86,'Detailed Feasibility'!$B119,$I$65:$I$86,'Detailed Feasibility'!AQ$116))</f>
        <v/>
      </c>
      <c r="AR119" s="548" t="str">
        <f>IF(AR$116="","",SUMIFS($D$65:$D$86,$C$65:$C$86,'Detailed Feasibility'!$B119,$I$65:$I$86,'Detailed Feasibility'!AR$116))</f>
        <v/>
      </c>
      <c r="AS119" s="548" t="str">
        <f>IF(AS$116="","",SUMIFS($D$65:$D$86,$C$65:$C$86,'Detailed Feasibility'!$B119,$I$65:$I$86,'Detailed Feasibility'!AS$116))</f>
        <v/>
      </c>
      <c r="AT119" s="548" t="str">
        <f>IF(AT$116="","",SUMIFS($D$65:$D$86,$C$65:$C$86,'Detailed Feasibility'!$B119,$I$65:$I$86,'Detailed Feasibility'!AT$116))</f>
        <v/>
      </c>
      <c r="AU119" s="548" t="str">
        <f>IF(AU$116="","",SUMIFS($D$65:$D$86,$C$65:$C$86,'Detailed Feasibility'!$B119,$I$65:$I$86,'Detailed Feasibility'!AU$116))</f>
        <v/>
      </c>
      <c r="AV119" s="548" t="str">
        <f>IF(AV$116="","",SUMIFS($D$65:$D$86,$C$65:$C$86,'Detailed Feasibility'!$B119,$I$65:$I$86,'Detailed Feasibility'!AV$116))</f>
        <v/>
      </c>
      <c r="AW119" s="548" t="str">
        <f>IF(AW$116="","",SUMIFS($D$65:$D$86,$C$65:$C$86,'Detailed Feasibility'!$B119,$I$65:$I$86,'Detailed Feasibility'!AW$116))</f>
        <v/>
      </c>
      <c r="AX119" s="548" t="str">
        <f>IF(AX$116="","",SUMIFS($D$65:$D$86,$C$65:$C$86,'Detailed Feasibility'!$B119,$I$65:$I$86,'Detailed Feasibility'!AX$116))</f>
        <v/>
      </c>
      <c r="AY119" s="548" t="str">
        <f>IF(AY$116="","",SUMIFS($D$65:$D$86,$C$65:$C$86,'Detailed Feasibility'!$B119,$I$65:$I$86,'Detailed Feasibility'!AY$116))</f>
        <v/>
      </c>
      <c r="AZ119" s="548" t="str">
        <f>IF(AZ$116="","",SUMIFS($D$65:$D$86,$C$65:$C$86,'Detailed Feasibility'!$B119,$I$65:$I$86,'Detailed Feasibility'!AZ$116))</f>
        <v/>
      </c>
      <c r="BA119" s="548" t="str">
        <f>IF(BA$116="","",SUMIFS($D$65:$D$86,$C$65:$C$86,'Detailed Feasibility'!$B119,$I$65:$I$86,'Detailed Feasibility'!BA$116))</f>
        <v/>
      </c>
      <c r="BB119" s="548" t="str">
        <f>IF(BB$116="","",SUMIFS($D$65:$D$86,$C$65:$C$86,'Detailed Feasibility'!$B119,$I$65:$I$86,'Detailed Feasibility'!BB$116))</f>
        <v/>
      </c>
      <c r="BC119" s="548" t="str">
        <f>IF(BC$116="","",SUMIFS($D$65:$D$86,$C$65:$C$86,'Detailed Feasibility'!$B119,$I$65:$I$86,'Detailed Feasibility'!BC$116))</f>
        <v/>
      </c>
      <c r="BD119" s="548" t="str">
        <f>IF(BD$116="","",SUMIFS($D$65:$D$86,$C$65:$C$86,'Detailed Feasibility'!$B119,$I$65:$I$86,'Detailed Feasibility'!BD$116))</f>
        <v/>
      </c>
      <c r="BE119" s="548" t="str">
        <f>IF(BE$116="","",SUMIFS($D$65:$D$86,$C$65:$C$86,'Detailed Feasibility'!$B119,$I$65:$I$86,'Detailed Feasibility'!BE$116))</f>
        <v/>
      </c>
      <c r="BF119" s="548" t="str">
        <f>IF(BF$116="","",SUMIFS($D$65:$D$86,$C$65:$C$86,'Detailed Feasibility'!$B119,$I$65:$I$86,'Detailed Feasibility'!BF$116))</f>
        <v/>
      </c>
      <c r="BG119" s="548" t="str">
        <f>IF(BG$116="","",SUMIFS($D$65:$D$86,$C$65:$C$86,'Detailed Feasibility'!$B119,$I$65:$I$86,'Detailed Feasibility'!BG$116))</f>
        <v/>
      </c>
      <c r="BH119" s="548" t="str">
        <f>IF(BH$116="","",SUMIFS($D$65:$D$86,$C$65:$C$86,'Detailed Feasibility'!$B119,$I$65:$I$86,'Detailed Feasibility'!BH$116))</f>
        <v/>
      </c>
      <c r="BI119" s="548" t="str">
        <f>IF(BI$116="","",SUMIFS($D$65:$D$86,$C$65:$C$86,'Detailed Feasibility'!$B119,$I$65:$I$86,'Detailed Feasibility'!BI$116))</f>
        <v/>
      </c>
      <c r="BJ119" s="548" t="str">
        <f>IF(BJ$116="","",SUMIFS($D$65:$D$86,$C$65:$C$86,'Detailed Feasibility'!$B119,$I$65:$I$86,'Detailed Feasibility'!BJ$116))</f>
        <v/>
      </c>
      <c r="BK119" s="548" t="str">
        <f>IF(BK$116="","",SUMIFS($D$65:$D$86,$C$65:$C$86,'Detailed Feasibility'!$B119,$I$65:$I$86,'Detailed Feasibility'!BK$116))</f>
        <v/>
      </c>
      <c r="BL119" s="548" t="str">
        <f>IF(BL$116="","",SUMIFS($D$65:$D$86,$C$65:$C$86,'Detailed Feasibility'!$B119,$I$65:$I$86,'Detailed Feasibility'!BL$116))</f>
        <v/>
      </c>
      <c r="BM119" s="56" t="str">
        <f>IF(BM$116="","",SUMIFS($D$65:$D$86,$C$65:$C$86,'Detailed Feasibility'!$B119,$I$65:$I$86,'Detailed Feasibility'!BM$116))</f>
        <v/>
      </c>
    </row>
    <row r="120" spans="2:65" s="1" customFormat="1" x14ac:dyDescent="0.25">
      <c r="B120" s="547" t="str">
        <f>$B$94</f>
        <v>2 Bed</v>
      </c>
      <c r="C120" s="43"/>
      <c r="D120" s="20">
        <f>'Detailed Feasibility Inputs'!$I$42*'Detailed Feasibility Inputs'!C42</f>
        <v>1625000</v>
      </c>
      <c r="E120" s="187">
        <f t="shared" si="9"/>
        <v>1</v>
      </c>
      <c r="F120" s="548">
        <f>IF(F$116="","",SUMIFS($D$65:$D$86,$C$65:$C$86,'Detailed Feasibility'!$B120,$I$65:$I$86,'Detailed Feasibility'!F$116))</f>
        <v>0</v>
      </c>
      <c r="G120" s="548">
        <f>IF(G$116="","",SUMIFS($D$65:$D$86,$C$65:$C$86,'Detailed Feasibility'!$B120,$I$65:$I$86,'Detailed Feasibility'!G$116))</f>
        <v>0</v>
      </c>
      <c r="H120" s="548">
        <f>IF(H$116="","",SUMIFS($D$65:$D$86,$C$65:$C$86,'Detailed Feasibility'!$B120,$I$65:$I$86,'Detailed Feasibility'!H$116))</f>
        <v>0</v>
      </c>
      <c r="I120" s="548">
        <f>IF(I$116="","",SUMIFS($D$65:$D$86,$C$65:$C$86,'Detailed Feasibility'!$B120,$I$65:$I$86,'Detailed Feasibility'!I$116))</f>
        <v>0</v>
      </c>
      <c r="J120" s="548">
        <f>IF(J$116="","",SUMIFS($D$65:$D$86,$C$65:$C$86,'Detailed Feasibility'!$B120,$I$65:$I$86,'Detailed Feasibility'!J$116))</f>
        <v>0</v>
      </c>
      <c r="K120" s="548">
        <f>IF(K$116="","",SUMIFS($D$65:$D$86,$C$65:$C$86,'Detailed Feasibility'!$B120,$I$65:$I$86,'Detailed Feasibility'!K$116))</f>
        <v>0</v>
      </c>
      <c r="L120" s="548">
        <f>IF(L$116="","",SUMIFS($D$65:$D$86,$C$65:$C$86,'Detailed Feasibility'!$B120,$I$65:$I$86,'Detailed Feasibility'!L$116))</f>
        <v>0</v>
      </c>
      <c r="M120" s="548">
        <f>IF(M$116="","",SUMIFS($D$65:$D$86,$C$65:$C$86,'Detailed Feasibility'!$B120,$I$65:$I$86,'Detailed Feasibility'!M$116))</f>
        <v>0</v>
      </c>
      <c r="N120" s="548">
        <f>IF(N$116="","",SUMIFS($D$65:$D$86,$C$65:$C$86,'Detailed Feasibility'!$B120,$I$65:$I$86,'Detailed Feasibility'!N$116))</f>
        <v>0</v>
      </c>
      <c r="O120" s="548">
        <f>IF(O$116="","",SUMIFS($D$65:$D$86,$C$65:$C$86,'Detailed Feasibility'!$B120,$I$65:$I$86,'Detailed Feasibility'!O$116))</f>
        <v>0</v>
      </c>
      <c r="P120" s="548">
        <f>IF(P$116="","",SUMIFS($D$65:$D$86,$C$65:$C$86,'Detailed Feasibility'!$B120,$I$65:$I$86,'Detailed Feasibility'!P$116))</f>
        <v>0</v>
      </c>
      <c r="Q120" s="548">
        <f>IF(Q$116="","",SUMIFS($D$65:$D$86,$C$65:$C$86,'Detailed Feasibility'!$B120,$I$65:$I$86,'Detailed Feasibility'!Q$116))</f>
        <v>0</v>
      </c>
      <c r="R120" s="548">
        <f>IF(R$116="","",SUMIFS($D$65:$D$86,$C$65:$C$86,'Detailed Feasibility'!$B120,$I$65:$I$86,'Detailed Feasibility'!R$116))</f>
        <v>0</v>
      </c>
      <c r="S120" s="548">
        <f>IF(S$116="","",SUMIFS($D$65:$D$86,$C$65:$C$86,'Detailed Feasibility'!$B120,$I$65:$I$86,'Detailed Feasibility'!S$116))</f>
        <v>0</v>
      </c>
      <c r="T120" s="548">
        <f>IF(T$116="","",SUMIFS($D$65:$D$86,$C$65:$C$86,'Detailed Feasibility'!$B120,$I$65:$I$86,'Detailed Feasibility'!T$116))</f>
        <v>0</v>
      </c>
      <c r="U120" s="548">
        <f>IF(U$116="","",SUMIFS($D$65:$D$86,$C$65:$C$86,'Detailed Feasibility'!$B120,$I$65:$I$86,'Detailed Feasibility'!U$116))</f>
        <v>0</v>
      </c>
      <c r="V120" s="548">
        <f>IF(V$116="","",SUMIFS($D$65:$D$86,$C$65:$C$86,'Detailed Feasibility'!$B120,$I$65:$I$86,'Detailed Feasibility'!V$116))</f>
        <v>0</v>
      </c>
      <c r="W120" s="548">
        <f>IF(W$116="","",SUMIFS($D$65:$D$86,$C$65:$C$86,'Detailed Feasibility'!$B120,$I$65:$I$86,'Detailed Feasibility'!W$116))</f>
        <v>0</v>
      </c>
      <c r="X120" s="548">
        <f>IF(X$116="","",SUMIFS($D$65:$D$86,$C$65:$C$86,'Detailed Feasibility'!$B120,$I$65:$I$86,'Detailed Feasibility'!X$116))</f>
        <v>325000</v>
      </c>
      <c r="Y120" s="548">
        <f>IF(Y$116="","",SUMIFS($D$65:$D$86,$C$65:$C$86,'Detailed Feasibility'!$B120,$I$65:$I$86,'Detailed Feasibility'!Y$116))</f>
        <v>0</v>
      </c>
      <c r="Z120" s="548">
        <f>IF(Z$116="","",SUMIFS($D$65:$D$86,$C$65:$C$86,'Detailed Feasibility'!$B120,$I$65:$I$86,'Detailed Feasibility'!Z$116))</f>
        <v>0</v>
      </c>
      <c r="AA120" s="548">
        <f>IF(AA$116="","",SUMIFS($D$65:$D$86,$C$65:$C$86,'Detailed Feasibility'!$B120,$I$65:$I$86,'Detailed Feasibility'!AA$116))</f>
        <v>0</v>
      </c>
      <c r="AB120" s="548">
        <f>IF(AB$116="","",SUMIFS($D$65:$D$86,$C$65:$C$86,'Detailed Feasibility'!$B120,$I$65:$I$86,'Detailed Feasibility'!AB$116))</f>
        <v>0</v>
      </c>
      <c r="AC120" s="548">
        <f>IF(AC$116="","",SUMIFS($D$65:$D$86,$C$65:$C$86,'Detailed Feasibility'!$B120,$I$65:$I$86,'Detailed Feasibility'!AC$116))</f>
        <v>0</v>
      </c>
      <c r="AD120" s="548">
        <f>IF(AD$116="","",SUMIFS($D$65:$D$86,$C$65:$C$86,'Detailed Feasibility'!$B120,$I$65:$I$86,'Detailed Feasibility'!AD$116))</f>
        <v>0</v>
      </c>
      <c r="AE120" s="548">
        <f>IF(AE$116="","",SUMIFS($D$65:$D$86,$C$65:$C$86,'Detailed Feasibility'!$B120,$I$65:$I$86,'Detailed Feasibility'!AE$116))</f>
        <v>1300000</v>
      </c>
      <c r="AF120" s="548">
        <f>IF(AF$116="","",SUMIFS($D$65:$D$86,$C$65:$C$86,'Detailed Feasibility'!$B120,$I$65:$I$86,'Detailed Feasibility'!AF$116))</f>
        <v>0</v>
      </c>
      <c r="AG120" s="548">
        <f>IF(AG$116="","",SUMIFS($D$65:$D$86,$C$65:$C$86,'Detailed Feasibility'!$B120,$I$65:$I$86,'Detailed Feasibility'!AG$116))</f>
        <v>0</v>
      </c>
      <c r="AH120" s="548">
        <f>IF(AH$116="","",SUMIFS($D$65:$D$86,$C$65:$C$86,'Detailed Feasibility'!$B120,$I$65:$I$86,'Detailed Feasibility'!AH$116))</f>
        <v>0</v>
      </c>
      <c r="AI120" s="548">
        <f>IF(AI$116="","",SUMIFS($D$65:$D$86,$C$65:$C$86,'Detailed Feasibility'!$B120,$I$65:$I$86,'Detailed Feasibility'!AI$116))</f>
        <v>0</v>
      </c>
      <c r="AJ120" s="548">
        <f>IF(AJ$116="","",SUMIFS($D$65:$D$86,$C$65:$C$86,'Detailed Feasibility'!$B120,$I$65:$I$86,'Detailed Feasibility'!AJ$116))</f>
        <v>0</v>
      </c>
      <c r="AK120" s="548">
        <f>IF(AK$116="","",SUMIFS($D$65:$D$86,$C$65:$C$86,'Detailed Feasibility'!$B120,$I$65:$I$86,'Detailed Feasibility'!AK$116))</f>
        <v>0</v>
      </c>
      <c r="AL120" s="548">
        <f>IF(AL$116="","",SUMIFS($D$65:$D$86,$C$65:$C$86,'Detailed Feasibility'!$B120,$I$65:$I$86,'Detailed Feasibility'!AL$116))</f>
        <v>0</v>
      </c>
      <c r="AM120" s="548">
        <f>IF(AM$116="","",SUMIFS($D$65:$D$86,$C$65:$C$86,'Detailed Feasibility'!$B120,$I$65:$I$86,'Detailed Feasibility'!AM$116))</f>
        <v>0</v>
      </c>
      <c r="AN120" s="548">
        <f>IF(AN$116="","",SUMIFS($D$65:$D$86,$C$65:$C$86,'Detailed Feasibility'!$B120,$I$65:$I$86,'Detailed Feasibility'!AN$116))</f>
        <v>0</v>
      </c>
      <c r="AO120" s="548">
        <f>IF(AO$116="","",SUMIFS($D$65:$D$86,$C$65:$C$86,'Detailed Feasibility'!$B120,$I$65:$I$86,'Detailed Feasibility'!AO$116))</f>
        <v>0</v>
      </c>
      <c r="AP120" s="548">
        <f>IF(AP$116="","",SUMIFS($D$65:$D$86,$C$65:$C$86,'Detailed Feasibility'!$B120,$I$65:$I$86,'Detailed Feasibility'!AP$116))</f>
        <v>0</v>
      </c>
      <c r="AQ120" s="548" t="str">
        <f>IF(AQ$116="","",SUMIFS($D$65:$D$86,$C$65:$C$86,'Detailed Feasibility'!$B120,$I$65:$I$86,'Detailed Feasibility'!AQ$116))</f>
        <v/>
      </c>
      <c r="AR120" s="548" t="str">
        <f>IF(AR$116="","",SUMIFS($D$65:$D$86,$C$65:$C$86,'Detailed Feasibility'!$B120,$I$65:$I$86,'Detailed Feasibility'!AR$116))</f>
        <v/>
      </c>
      <c r="AS120" s="548" t="str">
        <f>IF(AS$116="","",SUMIFS($D$65:$D$86,$C$65:$C$86,'Detailed Feasibility'!$B120,$I$65:$I$86,'Detailed Feasibility'!AS$116))</f>
        <v/>
      </c>
      <c r="AT120" s="548" t="str">
        <f>IF(AT$116="","",SUMIFS($D$65:$D$86,$C$65:$C$86,'Detailed Feasibility'!$B120,$I$65:$I$86,'Detailed Feasibility'!AT$116))</f>
        <v/>
      </c>
      <c r="AU120" s="548" t="str">
        <f>IF(AU$116="","",SUMIFS($D$65:$D$86,$C$65:$C$86,'Detailed Feasibility'!$B120,$I$65:$I$86,'Detailed Feasibility'!AU$116))</f>
        <v/>
      </c>
      <c r="AV120" s="548" t="str">
        <f>IF(AV$116="","",SUMIFS($D$65:$D$86,$C$65:$C$86,'Detailed Feasibility'!$B120,$I$65:$I$86,'Detailed Feasibility'!AV$116))</f>
        <v/>
      </c>
      <c r="AW120" s="548" t="str">
        <f>IF(AW$116="","",SUMIFS($D$65:$D$86,$C$65:$C$86,'Detailed Feasibility'!$B120,$I$65:$I$86,'Detailed Feasibility'!AW$116))</f>
        <v/>
      </c>
      <c r="AX120" s="548" t="str">
        <f>IF(AX$116="","",SUMIFS($D$65:$D$86,$C$65:$C$86,'Detailed Feasibility'!$B120,$I$65:$I$86,'Detailed Feasibility'!AX$116))</f>
        <v/>
      </c>
      <c r="AY120" s="548" t="str">
        <f>IF(AY$116="","",SUMIFS($D$65:$D$86,$C$65:$C$86,'Detailed Feasibility'!$B120,$I$65:$I$86,'Detailed Feasibility'!AY$116))</f>
        <v/>
      </c>
      <c r="AZ120" s="548" t="str">
        <f>IF(AZ$116="","",SUMIFS($D$65:$D$86,$C$65:$C$86,'Detailed Feasibility'!$B120,$I$65:$I$86,'Detailed Feasibility'!AZ$116))</f>
        <v/>
      </c>
      <c r="BA120" s="548" t="str">
        <f>IF(BA$116="","",SUMIFS($D$65:$D$86,$C$65:$C$86,'Detailed Feasibility'!$B120,$I$65:$I$86,'Detailed Feasibility'!BA$116))</f>
        <v/>
      </c>
      <c r="BB120" s="548" t="str">
        <f>IF(BB$116="","",SUMIFS($D$65:$D$86,$C$65:$C$86,'Detailed Feasibility'!$B120,$I$65:$I$86,'Detailed Feasibility'!BB$116))</f>
        <v/>
      </c>
      <c r="BC120" s="548" t="str">
        <f>IF(BC$116="","",SUMIFS($D$65:$D$86,$C$65:$C$86,'Detailed Feasibility'!$B120,$I$65:$I$86,'Detailed Feasibility'!BC$116))</f>
        <v/>
      </c>
      <c r="BD120" s="548" t="str">
        <f>IF(BD$116="","",SUMIFS($D$65:$D$86,$C$65:$C$86,'Detailed Feasibility'!$B120,$I$65:$I$86,'Detailed Feasibility'!BD$116))</f>
        <v/>
      </c>
      <c r="BE120" s="548" t="str">
        <f>IF(BE$116="","",SUMIFS($D$65:$D$86,$C$65:$C$86,'Detailed Feasibility'!$B120,$I$65:$I$86,'Detailed Feasibility'!BE$116))</f>
        <v/>
      </c>
      <c r="BF120" s="548" t="str">
        <f>IF(BF$116="","",SUMIFS($D$65:$D$86,$C$65:$C$86,'Detailed Feasibility'!$B120,$I$65:$I$86,'Detailed Feasibility'!BF$116))</f>
        <v/>
      </c>
      <c r="BG120" s="548" t="str">
        <f>IF(BG$116="","",SUMIFS($D$65:$D$86,$C$65:$C$86,'Detailed Feasibility'!$B120,$I$65:$I$86,'Detailed Feasibility'!BG$116))</f>
        <v/>
      </c>
      <c r="BH120" s="548" t="str">
        <f>IF(BH$116="","",SUMIFS($D$65:$D$86,$C$65:$C$86,'Detailed Feasibility'!$B120,$I$65:$I$86,'Detailed Feasibility'!BH$116))</f>
        <v/>
      </c>
      <c r="BI120" s="548" t="str">
        <f>IF(BI$116="","",SUMIFS($D$65:$D$86,$C$65:$C$86,'Detailed Feasibility'!$B120,$I$65:$I$86,'Detailed Feasibility'!BI$116))</f>
        <v/>
      </c>
      <c r="BJ120" s="548" t="str">
        <f>IF(BJ$116="","",SUMIFS($D$65:$D$86,$C$65:$C$86,'Detailed Feasibility'!$B120,$I$65:$I$86,'Detailed Feasibility'!BJ$116))</f>
        <v/>
      </c>
      <c r="BK120" s="548" t="str">
        <f>IF(BK$116="","",SUMIFS($D$65:$D$86,$C$65:$C$86,'Detailed Feasibility'!$B120,$I$65:$I$86,'Detailed Feasibility'!BK$116))</f>
        <v/>
      </c>
      <c r="BL120" s="548" t="str">
        <f>IF(BL$116="","",SUMIFS($D$65:$D$86,$C$65:$C$86,'Detailed Feasibility'!$B120,$I$65:$I$86,'Detailed Feasibility'!BL$116))</f>
        <v/>
      </c>
      <c r="BM120" s="56" t="str">
        <f>IF(BM$116="","",SUMIFS($D$65:$D$86,$C$65:$C$86,'Detailed Feasibility'!$B120,$I$65:$I$86,'Detailed Feasibility'!BM$116))</f>
        <v/>
      </c>
    </row>
    <row r="121" spans="2:65" s="1" customFormat="1" x14ac:dyDescent="0.25">
      <c r="B121" s="547" t="str">
        <f>$B$95</f>
        <v>3 Bed</v>
      </c>
      <c r="C121" s="43"/>
      <c r="D121" s="20">
        <f>'Detailed Feasibility Inputs'!$I$43*'Detailed Feasibility Inputs'!$C$43</f>
        <v>1440000</v>
      </c>
      <c r="E121" s="187">
        <f t="shared" si="9"/>
        <v>1</v>
      </c>
      <c r="F121" s="548">
        <f>IF(F$116="","",SUMIFS($D$65:$D$86,$C$65:$C$86,'Detailed Feasibility'!$B121,$I$65:$I$86,'Detailed Feasibility'!F$116))</f>
        <v>0</v>
      </c>
      <c r="G121" s="548">
        <f>IF(G$116="","",SUMIFS($D$65:$D$86,$C$65:$C$86,'Detailed Feasibility'!$B121,$I$65:$I$86,'Detailed Feasibility'!G$116))</f>
        <v>0</v>
      </c>
      <c r="H121" s="548">
        <f>IF(H$116="","",SUMIFS($D$65:$D$86,$C$65:$C$86,'Detailed Feasibility'!$B121,$I$65:$I$86,'Detailed Feasibility'!H$116))</f>
        <v>0</v>
      </c>
      <c r="I121" s="548">
        <f>IF(I$116="","",SUMIFS($D$65:$D$86,$C$65:$C$86,'Detailed Feasibility'!$B121,$I$65:$I$86,'Detailed Feasibility'!I$116))</f>
        <v>0</v>
      </c>
      <c r="J121" s="548">
        <f>IF(J$116="","",SUMIFS($D$65:$D$86,$C$65:$C$86,'Detailed Feasibility'!$B121,$I$65:$I$86,'Detailed Feasibility'!J$116))</f>
        <v>0</v>
      </c>
      <c r="K121" s="548">
        <f>IF(K$116="","",SUMIFS($D$65:$D$86,$C$65:$C$86,'Detailed Feasibility'!$B121,$I$65:$I$86,'Detailed Feasibility'!K$116))</f>
        <v>0</v>
      </c>
      <c r="L121" s="548">
        <f>IF(L$116="","",SUMIFS($D$65:$D$86,$C$65:$C$86,'Detailed Feasibility'!$B121,$I$65:$I$86,'Detailed Feasibility'!L$116))</f>
        <v>0</v>
      </c>
      <c r="M121" s="548">
        <f>IF(M$116="","",SUMIFS($D$65:$D$86,$C$65:$C$86,'Detailed Feasibility'!$B121,$I$65:$I$86,'Detailed Feasibility'!M$116))</f>
        <v>0</v>
      </c>
      <c r="N121" s="548">
        <f>IF(N$116="","",SUMIFS($D$65:$D$86,$C$65:$C$86,'Detailed Feasibility'!$B121,$I$65:$I$86,'Detailed Feasibility'!N$116))</f>
        <v>0</v>
      </c>
      <c r="O121" s="548">
        <f>IF(O$116="","",SUMIFS($D$65:$D$86,$C$65:$C$86,'Detailed Feasibility'!$B121,$I$65:$I$86,'Detailed Feasibility'!O$116))</f>
        <v>0</v>
      </c>
      <c r="P121" s="548">
        <f>IF(P$116="","",SUMIFS($D$65:$D$86,$C$65:$C$86,'Detailed Feasibility'!$B121,$I$65:$I$86,'Detailed Feasibility'!P$116))</f>
        <v>0</v>
      </c>
      <c r="Q121" s="548">
        <f>IF(Q$116="","",SUMIFS($D$65:$D$86,$C$65:$C$86,'Detailed Feasibility'!$B121,$I$65:$I$86,'Detailed Feasibility'!Q$116))</f>
        <v>0</v>
      </c>
      <c r="R121" s="548">
        <f>IF(R$116="","",SUMIFS($D$65:$D$86,$C$65:$C$86,'Detailed Feasibility'!$B121,$I$65:$I$86,'Detailed Feasibility'!R$116))</f>
        <v>0</v>
      </c>
      <c r="S121" s="548">
        <f>IF(S$116="","",SUMIFS($D$65:$D$86,$C$65:$C$86,'Detailed Feasibility'!$B121,$I$65:$I$86,'Detailed Feasibility'!S$116))</f>
        <v>0</v>
      </c>
      <c r="T121" s="548">
        <f>IF(T$116="","",SUMIFS($D$65:$D$86,$C$65:$C$86,'Detailed Feasibility'!$B121,$I$65:$I$86,'Detailed Feasibility'!T$116))</f>
        <v>0</v>
      </c>
      <c r="U121" s="548">
        <f>IF(U$116="","",SUMIFS($D$65:$D$86,$C$65:$C$86,'Detailed Feasibility'!$B121,$I$65:$I$86,'Detailed Feasibility'!U$116))</f>
        <v>0</v>
      </c>
      <c r="V121" s="548">
        <f>IF(V$116="","",SUMIFS($D$65:$D$86,$C$65:$C$86,'Detailed Feasibility'!$B121,$I$65:$I$86,'Detailed Feasibility'!V$116))</f>
        <v>0</v>
      </c>
      <c r="W121" s="548">
        <f>IF(W$116="","",SUMIFS($D$65:$D$86,$C$65:$C$86,'Detailed Feasibility'!$B121,$I$65:$I$86,'Detailed Feasibility'!W$116))</f>
        <v>0</v>
      </c>
      <c r="X121" s="548">
        <f>IF(X$116="","",SUMIFS($D$65:$D$86,$C$65:$C$86,'Detailed Feasibility'!$B121,$I$65:$I$86,'Detailed Feasibility'!X$116))</f>
        <v>720000</v>
      </c>
      <c r="Y121" s="548">
        <f>IF(Y$116="","",SUMIFS($D$65:$D$86,$C$65:$C$86,'Detailed Feasibility'!$B121,$I$65:$I$86,'Detailed Feasibility'!Y$116))</f>
        <v>0</v>
      </c>
      <c r="Z121" s="548">
        <f>IF(Z$116="","",SUMIFS($D$65:$D$86,$C$65:$C$86,'Detailed Feasibility'!$B121,$I$65:$I$86,'Detailed Feasibility'!Z$116))</f>
        <v>0</v>
      </c>
      <c r="AA121" s="548">
        <f>IF(AA$116="","",SUMIFS($D$65:$D$86,$C$65:$C$86,'Detailed Feasibility'!$B121,$I$65:$I$86,'Detailed Feasibility'!AA$116))</f>
        <v>0</v>
      </c>
      <c r="AB121" s="548">
        <f>IF(AB$116="","",SUMIFS($D$65:$D$86,$C$65:$C$86,'Detailed Feasibility'!$B121,$I$65:$I$86,'Detailed Feasibility'!AB$116))</f>
        <v>0</v>
      </c>
      <c r="AC121" s="548">
        <f>IF(AC$116="","",SUMIFS($D$65:$D$86,$C$65:$C$86,'Detailed Feasibility'!$B121,$I$65:$I$86,'Detailed Feasibility'!AC$116))</f>
        <v>0</v>
      </c>
      <c r="AD121" s="548">
        <f>IF(AD$116="","",SUMIFS($D$65:$D$86,$C$65:$C$86,'Detailed Feasibility'!$B121,$I$65:$I$86,'Detailed Feasibility'!AD$116))</f>
        <v>0</v>
      </c>
      <c r="AE121" s="548">
        <f>IF(AE$116="","",SUMIFS($D$65:$D$86,$C$65:$C$86,'Detailed Feasibility'!$B121,$I$65:$I$86,'Detailed Feasibility'!AE$116))</f>
        <v>720000</v>
      </c>
      <c r="AF121" s="548">
        <f>IF(AF$116="","",SUMIFS($D$65:$D$86,$C$65:$C$86,'Detailed Feasibility'!$B121,$I$65:$I$86,'Detailed Feasibility'!AF$116))</f>
        <v>0</v>
      </c>
      <c r="AG121" s="548">
        <f>IF(AG$116="","",SUMIFS($D$65:$D$86,$C$65:$C$86,'Detailed Feasibility'!$B121,$I$65:$I$86,'Detailed Feasibility'!AG$116))</f>
        <v>0</v>
      </c>
      <c r="AH121" s="548">
        <f>IF(AH$116="","",SUMIFS($D$65:$D$86,$C$65:$C$86,'Detailed Feasibility'!$B121,$I$65:$I$86,'Detailed Feasibility'!AH$116))</f>
        <v>0</v>
      </c>
      <c r="AI121" s="548">
        <f>IF(AI$116="","",SUMIFS($D$65:$D$86,$C$65:$C$86,'Detailed Feasibility'!$B121,$I$65:$I$86,'Detailed Feasibility'!AI$116))</f>
        <v>0</v>
      </c>
      <c r="AJ121" s="548">
        <f>IF(AJ$116="","",SUMIFS($D$65:$D$86,$C$65:$C$86,'Detailed Feasibility'!$B121,$I$65:$I$86,'Detailed Feasibility'!AJ$116))</f>
        <v>0</v>
      </c>
      <c r="AK121" s="548">
        <f>IF(AK$116="","",SUMIFS($D$65:$D$86,$C$65:$C$86,'Detailed Feasibility'!$B121,$I$65:$I$86,'Detailed Feasibility'!AK$116))</f>
        <v>0</v>
      </c>
      <c r="AL121" s="548">
        <f>IF(AL$116="","",SUMIFS($D$65:$D$86,$C$65:$C$86,'Detailed Feasibility'!$B121,$I$65:$I$86,'Detailed Feasibility'!AL$116))</f>
        <v>0</v>
      </c>
      <c r="AM121" s="548">
        <f>IF(AM$116="","",SUMIFS($D$65:$D$86,$C$65:$C$86,'Detailed Feasibility'!$B121,$I$65:$I$86,'Detailed Feasibility'!AM$116))</f>
        <v>0</v>
      </c>
      <c r="AN121" s="548">
        <f>IF(AN$116="","",SUMIFS($D$65:$D$86,$C$65:$C$86,'Detailed Feasibility'!$B121,$I$65:$I$86,'Detailed Feasibility'!AN$116))</f>
        <v>0</v>
      </c>
      <c r="AO121" s="548">
        <f>IF(AO$116="","",SUMIFS($D$65:$D$86,$C$65:$C$86,'Detailed Feasibility'!$B121,$I$65:$I$86,'Detailed Feasibility'!AO$116))</f>
        <v>0</v>
      </c>
      <c r="AP121" s="548">
        <f>IF(AP$116="","",SUMIFS($D$65:$D$86,$C$65:$C$86,'Detailed Feasibility'!$B121,$I$65:$I$86,'Detailed Feasibility'!AP$116))</f>
        <v>0</v>
      </c>
      <c r="AQ121" s="548" t="str">
        <f>IF(AQ$116="","",SUMIFS($D$65:$D$86,$C$65:$C$86,'Detailed Feasibility'!$B121,$I$65:$I$86,'Detailed Feasibility'!AQ$116))</f>
        <v/>
      </c>
      <c r="AR121" s="548" t="str">
        <f>IF(AR$116="","",SUMIFS($D$65:$D$86,$C$65:$C$86,'Detailed Feasibility'!$B121,$I$65:$I$86,'Detailed Feasibility'!AR$116))</f>
        <v/>
      </c>
      <c r="AS121" s="548" t="str">
        <f>IF(AS$116="","",SUMIFS($D$65:$D$86,$C$65:$C$86,'Detailed Feasibility'!$B121,$I$65:$I$86,'Detailed Feasibility'!AS$116))</f>
        <v/>
      </c>
      <c r="AT121" s="548" t="str">
        <f>IF(AT$116="","",SUMIFS($D$65:$D$86,$C$65:$C$86,'Detailed Feasibility'!$B121,$I$65:$I$86,'Detailed Feasibility'!AT$116))</f>
        <v/>
      </c>
      <c r="AU121" s="548" t="str">
        <f>IF(AU$116="","",SUMIFS($D$65:$D$86,$C$65:$C$86,'Detailed Feasibility'!$B121,$I$65:$I$86,'Detailed Feasibility'!AU$116))</f>
        <v/>
      </c>
      <c r="AV121" s="548" t="str">
        <f>IF(AV$116="","",SUMIFS($D$65:$D$86,$C$65:$C$86,'Detailed Feasibility'!$B121,$I$65:$I$86,'Detailed Feasibility'!AV$116))</f>
        <v/>
      </c>
      <c r="AW121" s="548" t="str">
        <f>IF(AW$116="","",SUMIFS($D$65:$D$86,$C$65:$C$86,'Detailed Feasibility'!$B121,$I$65:$I$86,'Detailed Feasibility'!AW$116))</f>
        <v/>
      </c>
      <c r="AX121" s="548" t="str">
        <f>IF(AX$116="","",SUMIFS($D$65:$D$86,$C$65:$C$86,'Detailed Feasibility'!$B121,$I$65:$I$86,'Detailed Feasibility'!AX$116))</f>
        <v/>
      </c>
      <c r="AY121" s="548" t="str">
        <f>IF(AY$116="","",SUMIFS($D$65:$D$86,$C$65:$C$86,'Detailed Feasibility'!$B121,$I$65:$I$86,'Detailed Feasibility'!AY$116))</f>
        <v/>
      </c>
      <c r="AZ121" s="548" t="str">
        <f>IF(AZ$116="","",SUMIFS($D$65:$D$86,$C$65:$C$86,'Detailed Feasibility'!$B121,$I$65:$I$86,'Detailed Feasibility'!AZ$116))</f>
        <v/>
      </c>
      <c r="BA121" s="548" t="str">
        <f>IF(BA$116="","",SUMIFS($D$65:$D$86,$C$65:$C$86,'Detailed Feasibility'!$B121,$I$65:$I$86,'Detailed Feasibility'!BA$116))</f>
        <v/>
      </c>
      <c r="BB121" s="548" t="str">
        <f>IF(BB$116="","",SUMIFS($D$65:$D$86,$C$65:$C$86,'Detailed Feasibility'!$B121,$I$65:$I$86,'Detailed Feasibility'!BB$116))</f>
        <v/>
      </c>
      <c r="BC121" s="548" t="str">
        <f>IF(BC$116="","",SUMIFS($D$65:$D$86,$C$65:$C$86,'Detailed Feasibility'!$B121,$I$65:$I$86,'Detailed Feasibility'!BC$116))</f>
        <v/>
      </c>
      <c r="BD121" s="548" t="str">
        <f>IF(BD$116="","",SUMIFS($D$65:$D$86,$C$65:$C$86,'Detailed Feasibility'!$B121,$I$65:$I$86,'Detailed Feasibility'!BD$116))</f>
        <v/>
      </c>
      <c r="BE121" s="548" t="str">
        <f>IF(BE$116="","",SUMIFS($D$65:$D$86,$C$65:$C$86,'Detailed Feasibility'!$B121,$I$65:$I$86,'Detailed Feasibility'!BE$116))</f>
        <v/>
      </c>
      <c r="BF121" s="548" t="str">
        <f>IF(BF$116="","",SUMIFS($D$65:$D$86,$C$65:$C$86,'Detailed Feasibility'!$B121,$I$65:$I$86,'Detailed Feasibility'!BF$116))</f>
        <v/>
      </c>
      <c r="BG121" s="548" t="str">
        <f>IF(BG$116="","",SUMIFS($D$65:$D$86,$C$65:$C$86,'Detailed Feasibility'!$B121,$I$65:$I$86,'Detailed Feasibility'!BG$116))</f>
        <v/>
      </c>
      <c r="BH121" s="548" t="str">
        <f>IF(BH$116="","",SUMIFS($D$65:$D$86,$C$65:$C$86,'Detailed Feasibility'!$B121,$I$65:$I$86,'Detailed Feasibility'!BH$116))</f>
        <v/>
      </c>
      <c r="BI121" s="548" t="str">
        <f>IF(BI$116="","",SUMIFS($D$65:$D$86,$C$65:$C$86,'Detailed Feasibility'!$B121,$I$65:$I$86,'Detailed Feasibility'!BI$116))</f>
        <v/>
      </c>
      <c r="BJ121" s="548" t="str">
        <f>IF(BJ$116="","",SUMIFS($D$65:$D$86,$C$65:$C$86,'Detailed Feasibility'!$B121,$I$65:$I$86,'Detailed Feasibility'!BJ$116))</f>
        <v/>
      </c>
      <c r="BK121" s="548" t="str">
        <f>IF(BK$116="","",SUMIFS($D$65:$D$86,$C$65:$C$86,'Detailed Feasibility'!$B121,$I$65:$I$86,'Detailed Feasibility'!BK$116))</f>
        <v/>
      </c>
      <c r="BL121" s="548" t="str">
        <f>IF(BL$116="","",SUMIFS($D$65:$D$86,$C$65:$C$86,'Detailed Feasibility'!$B121,$I$65:$I$86,'Detailed Feasibility'!BL$116))</f>
        <v/>
      </c>
      <c r="BM121" s="56" t="str">
        <f>IF(BM$116="","",SUMIFS($D$65:$D$86,$C$65:$C$86,'Detailed Feasibility'!$B121,$I$65:$I$86,'Detailed Feasibility'!BM$116))</f>
        <v/>
      </c>
    </row>
    <row r="122" spans="2:65" s="1" customFormat="1" x14ac:dyDescent="0.25">
      <c r="B122" s="547" t="str">
        <f>$B$96</f>
        <v>4 Bed</v>
      </c>
      <c r="C122" s="43"/>
      <c r="D122" s="20">
        <f>'Detailed Feasibility Inputs'!$I$44*'Detailed Feasibility Inputs'!$C$44</f>
        <v>2520000</v>
      </c>
      <c r="E122" s="187">
        <f t="shared" si="9"/>
        <v>1</v>
      </c>
      <c r="F122" s="548">
        <f>IF(F$116="","",SUMIFS($D$65:$D$86,$C$65:$C$86,'Detailed Feasibility'!$B122,$I$65:$I$86,'Detailed Feasibility'!F$116))</f>
        <v>0</v>
      </c>
      <c r="G122" s="548">
        <f>IF(G$116="","",SUMIFS($D$65:$D$86,$C$65:$C$86,'Detailed Feasibility'!$B122,$I$65:$I$86,'Detailed Feasibility'!G$116))</f>
        <v>0</v>
      </c>
      <c r="H122" s="548">
        <f>IF(H$116="","",SUMIFS($D$65:$D$86,$C$65:$C$86,'Detailed Feasibility'!$B122,$I$65:$I$86,'Detailed Feasibility'!H$116))</f>
        <v>0</v>
      </c>
      <c r="I122" s="548">
        <f>IF(I$116="","",SUMIFS($D$65:$D$86,$C$65:$C$86,'Detailed Feasibility'!$B122,$I$65:$I$86,'Detailed Feasibility'!I$116))</f>
        <v>0</v>
      </c>
      <c r="J122" s="548">
        <f>IF(J$116="","",SUMIFS($D$65:$D$86,$C$65:$C$86,'Detailed Feasibility'!$B122,$I$65:$I$86,'Detailed Feasibility'!J$116))</f>
        <v>0</v>
      </c>
      <c r="K122" s="548">
        <f>IF(K$116="","",SUMIFS($D$65:$D$86,$C$65:$C$86,'Detailed Feasibility'!$B122,$I$65:$I$86,'Detailed Feasibility'!K$116))</f>
        <v>0</v>
      </c>
      <c r="L122" s="548">
        <f>IF(L$116="","",SUMIFS($D$65:$D$86,$C$65:$C$86,'Detailed Feasibility'!$B122,$I$65:$I$86,'Detailed Feasibility'!L$116))</f>
        <v>0</v>
      </c>
      <c r="M122" s="548">
        <f>IF(M$116="","",SUMIFS($D$65:$D$86,$C$65:$C$86,'Detailed Feasibility'!$B122,$I$65:$I$86,'Detailed Feasibility'!M$116))</f>
        <v>0</v>
      </c>
      <c r="N122" s="548">
        <f>IF(N$116="","",SUMIFS($D$65:$D$86,$C$65:$C$86,'Detailed Feasibility'!$B122,$I$65:$I$86,'Detailed Feasibility'!N$116))</f>
        <v>0</v>
      </c>
      <c r="O122" s="548">
        <f>IF(O$116="","",SUMIFS($D$65:$D$86,$C$65:$C$86,'Detailed Feasibility'!$B122,$I$65:$I$86,'Detailed Feasibility'!O$116))</f>
        <v>0</v>
      </c>
      <c r="P122" s="548">
        <f>IF(P$116="","",SUMIFS($D$65:$D$86,$C$65:$C$86,'Detailed Feasibility'!$B122,$I$65:$I$86,'Detailed Feasibility'!P$116))</f>
        <v>0</v>
      </c>
      <c r="Q122" s="548">
        <f>IF(Q$116="","",SUMIFS($D$65:$D$86,$C$65:$C$86,'Detailed Feasibility'!$B122,$I$65:$I$86,'Detailed Feasibility'!Q$116))</f>
        <v>0</v>
      </c>
      <c r="R122" s="548">
        <f>IF(R$116="","",SUMIFS($D$65:$D$86,$C$65:$C$86,'Detailed Feasibility'!$B122,$I$65:$I$86,'Detailed Feasibility'!R$116))</f>
        <v>0</v>
      </c>
      <c r="S122" s="548">
        <f>IF(S$116="","",SUMIFS($D$65:$D$86,$C$65:$C$86,'Detailed Feasibility'!$B122,$I$65:$I$86,'Detailed Feasibility'!S$116))</f>
        <v>0</v>
      </c>
      <c r="T122" s="548">
        <f>IF(T$116="","",SUMIFS($D$65:$D$86,$C$65:$C$86,'Detailed Feasibility'!$B122,$I$65:$I$86,'Detailed Feasibility'!T$116))</f>
        <v>0</v>
      </c>
      <c r="U122" s="548">
        <f>IF(U$116="","",SUMIFS($D$65:$D$86,$C$65:$C$86,'Detailed Feasibility'!$B122,$I$65:$I$86,'Detailed Feasibility'!U$116))</f>
        <v>0</v>
      </c>
      <c r="V122" s="548">
        <f>IF(V$116="","",SUMIFS($D$65:$D$86,$C$65:$C$86,'Detailed Feasibility'!$B122,$I$65:$I$86,'Detailed Feasibility'!V$116))</f>
        <v>0</v>
      </c>
      <c r="W122" s="548">
        <f>IF(W$116="","",SUMIFS($D$65:$D$86,$C$65:$C$86,'Detailed Feasibility'!$B122,$I$65:$I$86,'Detailed Feasibility'!W$116))</f>
        <v>0</v>
      </c>
      <c r="X122" s="548">
        <f>IF(X$116="","",SUMIFS($D$65:$D$86,$C$65:$C$86,'Detailed Feasibility'!$B122,$I$65:$I$86,'Detailed Feasibility'!X$116))</f>
        <v>420000</v>
      </c>
      <c r="Y122" s="548">
        <f>IF(Y$116="","",SUMIFS($D$65:$D$86,$C$65:$C$86,'Detailed Feasibility'!$B122,$I$65:$I$86,'Detailed Feasibility'!Y$116))</f>
        <v>0</v>
      </c>
      <c r="Z122" s="548">
        <f>IF(Z$116="","",SUMIFS($D$65:$D$86,$C$65:$C$86,'Detailed Feasibility'!$B122,$I$65:$I$86,'Detailed Feasibility'!Z$116))</f>
        <v>0</v>
      </c>
      <c r="AA122" s="548">
        <f>IF(AA$116="","",SUMIFS($D$65:$D$86,$C$65:$C$86,'Detailed Feasibility'!$B122,$I$65:$I$86,'Detailed Feasibility'!AA$116))</f>
        <v>0</v>
      </c>
      <c r="AB122" s="548">
        <f>IF(AB$116="","",SUMIFS($D$65:$D$86,$C$65:$C$86,'Detailed Feasibility'!$B122,$I$65:$I$86,'Detailed Feasibility'!AB$116))</f>
        <v>0</v>
      </c>
      <c r="AC122" s="548">
        <f>IF(AC$116="","",SUMIFS($D$65:$D$86,$C$65:$C$86,'Detailed Feasibility'!$B122,$I$65:$I$86,'Detailed Feasibility'!AC$116))</f>
        <v>0</v>
      </c>
      <c r="AD122" s="548">
        <f>IF(AD$116="","",SUMIFS($D$65:$D$86,$C$65:$C$86,'Detailed Feasibility'!$B122,$I$65:$I$86,'Detailed Feasibility'!AD$116))</f>
        <v>0</v>
      </c>
      <c r="AE122" s="548">
        <f>IF(AE$116="","",SUMIFS($D$65:$D$86,$C$65:$C$86,'Detailed Feasibility'!$B122,$I$65:$I$86,'Detailed Feasibility'!AE$116))</f>
        <v>0</v>
      </c>
      <c r="AF122" s="548">
        <f>IF(AF$116="","",SUMIFS($D$65:$D$86,$C$65:$C$86,'Detailed Feasibility'!$B122,$I$65:$I$86,'Detailed Feasibility'!AF$116))</f>
        <v>0</v>
      </c>
      <c r="AG122" s="548">
        <f>IF(AG$116="","",SUMIFS($D$65:$D$86,$C$65:$C$86,'Detailed Feasibility'!$B122,$I$65:$I$86,'Detailed Feasibility'!AG$116))</f>
        <v>0</v>
      </c>
      <c r="AH122" s="548">
        <f>IF(AH$116="","",SUMIFS($D$65:$D$86,$C$65:$C$86,'Detailed Feasibility'!$B122,$I$65:$I$86,'Detailed Feasibility'!AH$116))</f>
        <v>2100000</v>
      </c>
      <c r="AI122" s="548">
        <f>IF(AI$116="","",SUMIFS($D$65:$D$86,$C$65:$C$86,'Detailed Feasibility'!$B122,$I$65:$I$86,'Detailed Feasibility'!AI$116))</f>
        <v>0</v>
      </c>
      <c r="AJ122" s="548">
        <f>IF(AJ$116="","",SUMIFS($D$65:$D$86,$C$65:$C$86,'Detailed Feasibility'!$B122,$I$65:$I$86,'Detailed Feasibility'!AJ$116))</f>
        <v>0</v>
      </c>
      <c r="AK122" s="548">
        <f>IF(AK$116="","",SUMIFS($D$65:$D$86,$C$65:$C$86,'Detailed Feasibility'!$B122,$I$65:$I$86,'Detailed Feasibility'!AK$116))</f>
        <v>0</v>
      </c>
      <c r="AL122" s="548">
        <f>IF(AL$116="","",SUMIFS($D$65:$D$86,$C$65:$C$86,'Detailed Feasibility'!$B122,$I$65:$I$86,'Detailed Feasibility'!AL$116))</f>
        <v>0</v>
      </c>
      <c r="AM122" s="548">
        <f>IF(AM$116="","",SUMIFS($D$65:$D$86,$C$65:$C$86,'Detailed Feasibility'!$B122,$I$65:$I$86,'Detailed Feasibility'!AM$116))</f>
        <v>0</v>
      </c>
      <c r="AN122" s="548">
        <f>IF(AN$116="","",SUMIFS($D$65:$D$86,$C$65:$C$86,'Detailed Feasibility'!$B122,$I$65:$I$86,'Detailed Feasibility'!AN$116))</f>
        <v>0</v>
      </c>
      <c r="AO122" s="548">
        <f>IF(AO$116="","",SUMIFS($D$65:$D$86,$C$65:$C$86,'Detailed Feasibility'!$B122,$I$65:$I$86,'Detailed Feasibility'!AO$116))</f>
        <v>0</v>
      </c>
      <c r="AP122" s="548">
        <f>IF(AP$116="","",SUMIFS($D$65:$D$86,$C$65:$C$86,'Detailed Feasibility'!$B122,$I$65:$I$86,'Detailed Feasibility'!AP$116))</f>
        <v>0</v>
      </c>
      <c r="AQ122" s="548" t="str">
        <f>IF(AQ$116="","",SUMIFS($D$65:$D$86,$C$65:$C$86,'Detailed Feasibility'!$B122,$I$65:$I$86,'Detailed Feasibility'!AQ$116))</f>
        <v/>
      </c>
      <c r="AR122" s="548" t="str">
        <f>IF(AR$116="","",SUMIFS($D$65:$D$86,$C$65:$C$86,'Detailed Feasibility'!$B122,$I$65:$I$86,'Detailed Feasibility'!AR$116))</f>
        <v/>
      </c>
      <c r="AS122" s="548" t="str">
        <f>IF(AS$116="","",SUMIFS($D$65:$D$86,$C$65:$C$86,'Detailed Feasibility'!$B122,$I$65:$I$86,'Detailed Feasibility'!AS$116))</f>
        <v/>
      </c>
      <c r="AT122" s="548" t="str">
        <f>IF(AT$116="","",SUMIFS($D$65:$D$86,$C$65:$C$86,'Detailed Feasibility'!$B122,$I$65:$I$86,'Detailed Feasibility'!AT$116))</f>
        <v/>
      </c>
      <c r="AU122" s="548" t="str">
        <f>IF(AU$116="","",SUMIFS($D$65:$D$86,$C$65:$C$86,'Detailed Feasibility'!$B122,$I$65:$I$86,'Detailed Feasibility'!AU$116))</f>
        <v/>
      </c>
      <c r="AV122" s="548" t="str">
        <f>IF(AV$116="","",SUMIFS($D$65:$D$86,$C$65:$C$86,'Detailed Feasibility'!$B122,$I$65:$I$86,'Detailed Feasibility'!AV$116))</f>
        <v/>
      </c>
      <c r="AW122" s="548" t="str">
        <f>IF(AW$116="","",SUMIFS($D$65:$D$86,$C$65:$C$86,'Detailed Feasibility'!$B122,$I$65:$I$86,'Detailed Feasibility'!AW$116))</f>
        <v/>
      </c>
      <c r="AX122" s="548" t="str">
        <f>IF(AX$116="","",SUMIFS($D$65:$D$86,$C$65:$C$86,'Detailed Feasibility'!$B122,$I$65:$I$86,'Detailed Feasibility'!AX$116))</f>
        <v/>
      </c>
      <c r="AY122" s="548" t="str">
        <f>IF(AY$116="","",SUMIFS($D$65:$D$86,$C$65:$C$86,'Detailed Feasibility'!$B122,$I$65:$I$86,'Detailed Feasibility'!AY$116))</f>
        <v/>
      </c>
      <c r="AZ122" s="548" t="str">
        <f>IF(AZ$116="","",SUMIFS($D$65:$D$86,$C$65:$C$86,'Detailed Feasibility'!$B122,$I$65:$I$86,'Detailed Feasibility'!AZ$116))</f>
        <v/>
      </c>
      <c r="BA122" s="548" t="str">
        <f>IF(BA$116="","",SUMIFS($D$65:$D$86,$C$65:$C$86,'Detailed Feasibility'!$B122,$I$65:$I$86,'Detailed Feasibility'!BA$116))</f>
        <v/>
      </c>
      <c r="BB122" s="548" t="str">
        <f>IF(BB$116="","",SUMIFS($D$65:$D$86,$C$65:$C$86,'Detailed Feasibility'!$B122,$I$65:$I$86,'Detailed Feasibility'!BB$116))</f>
        <v/>
      </c>
      <c r="BC122" s="548" t="str">
        <f>IF(BC$116="","",SUMIFS($D$65:$D$86,$C$65:$C$86,'Detailed Feasibility'!$B122,$I$65:$I$86,'Detailed Feasibility'!BC$116))</f>
        <v/>
      </c>
      <c r="BD122" s="548" t="str">
        <f>IF(BD$116="","",SUMIFS($D$65:$D$86,$C$65:$C$86,'Detailed Feasibility'!$B122,$I$65:$I$86,'Detailed Feasibility'!BD$116))</f>
        <v/>
      </c>
      <c r="BE122" s="548" t="str">
        <f>IF(BE$116="","",SUMIFS($D$65:$D$86,$C$65:$C$86,'Detailed Feasibility'!$B122,$I$65:$I$86,'Detailed Feasibility'!BE$116))</f>
        <v/>
      </c>
      <c r="BF122" s="548" t="str">
        <f>IF(BF$116="","",SUMIFS($D$65:$D$86,$C$65:$C$86,'Detailed Feasibility'!$B122,$I$65:$I$86,'Detailed Feasibility'!BF$116))</f>
        <v/>
      </c>
      <c r="BG122" s="548" t="str">
        <f>IF(BG$116="","",SUMIFS($D$65:$D$86,$C$65:$C$86,'Detailed Feasibility'!$B122,$I$65:$I$86,'Detailed Feasibility'!BG$116))</f>
        <v/>
      </c>
      <c r="BH122" s="548" t="str">
        <f>IF(BH$116="","",SUMIFS($D$65:$D$86,$C$65:$C$86,'Detailed Feasibility'!$B122,$I$65:$I$86,'Detailed Feasibility'!BH$116))</f>
        <v/>
      </c>
      <c r="BI122" s="548" t="str">
        <f>IF(BI$116="","",SUMIFS($D$65:$D$86,$C$65:$C$86,'Detailed Feasibility'!$B122,$I$65:$I$86,'Detailed Feasibility'!BI$116))</f>
        <v/>
      </c>
      <c r="BJ122" s="548" t="str">
        <f>IF(BJ$116="","",SUMIFS($D$65:$D$86,$C$65:$C$86,'Detailed Feasibility'!$B122,$I$65:$I$86,'Detailed Feasibility'!BJ$116))</f>
        <v/>
      </c>
      <c r="BK122" s="548" t="str">
        <f>IF(BK$116="","",SUMIFS($D$65:$D$86,$C$65:$C$86,'Detailed Feasibility'!$B122,$I$65:$I$86,'Detailed Feasibility'!BK$116))</f>
        <v/>
      </c>
      <c r="BL122" s="548" t="str">
        <f>IF(BL$116="","",SUMIFS($D$65:$D$86,$C$65:$C$86,'Detailed Feasibility'!$B122,$I$65:$I$86,'Detailed Feasibility'!BL$116))</f>
        <v/>
      </c>
      <c r="BM122" s="56" t="str">
        <f>IF(BM$116="","",SUMIFS($D$65:$D$86,$C$65:$C$86,'Detailed Feasibility'!$B122,$I$65:$I$86,'Detailed Feasibility'!BM$116))</f>
        <v/>
      </c>
    </row>
    <row r="123" spans="2:65" s="1" customFormat="1" x14ac:dyDescent="0.25">
      <c r="B123" s="547" t="str">
        <f>$B$97</f>
        <v>5 Bed</v>
      </c>
      <c r="C123" s="43"/>
      <c r="D123" s="20">
        <f>'Detailed Feasibility Inputs'!$I$45*'Detailed Feasibility Inputs'!$C$45</f>
        <v>0</v>
      </c>
      <c r="E123" s="187">
        <f t="shared" si="9"/>
        <v>1</v>
      </c>
      <c r="F123" s="548">
        <f>IF(F$116="","",SUMIFS($D$65:$D$86,$C$65:$C$86,'Detailed Feasibility'!$B123,$I$65:$I$86,'Detailed Feasibility'!F$116))</f>
        <v>0</v>
      </c>
      <c r="G123" s="548">
        <f>IF(G$116="","",SUMIFS($D$65:$D$86,$C$65:$C$86,'Detailed Feasibility'!$B123,$I$65:$I$86,'Detailed Feasibility'!G$116))</f>
        <v>0</v>
      </c>
      <c r="H123" s="548">
        <f>IF(H$116="","",SUMIFS($D$65:$D$86,$C$65:$C$86,'Detailed Feasibility'!$B123,$I$65:$I$86,'Detailed Feasibility'!H$116))</f>
        <v>0</v>
      </c>
      <c r="I123" s="548">
        <f>IF(I$116="","",SUMIFS($D$65:$D$86,$C$65:$C$86,'Detailed Feasibility'!$B123,$I$65:$I$86,'Detailed Feasibility'!I$116))</f>
        <v>0</v>
      </c>
      <c r="J123" s="548">
        <f>IF(J$116="","",SUMIFS($D$65:$D$86,$C$65:$C$86,'Detailed Feasibility'!$B123,$I$65:$I$86,'Detailed Feasibility'!J$116))</f>
        <v>0</v>
      </c>
      <c r="K123" s="548">
        <f>IF(K$116="","",SUMIFS($D$65:$D$86,$C$65:$C$86,'Detailed Feasibility'!$B123,$I$65:$I$86,'Detailed Feasibility'!K$116))</f>
        <v>0</v>
      </c>
      <c r="L123" s="548">
        <f>IF(L$116="","",SUMIFS($D$65:$D$86,$C$65:$C$86,'Detailed Feasibility'!$B123,$I$65:$I$86,'Detailed Feasibility'!L$116))</f>
        <v>0</v>
      </c>
      <c r="M123" s="548">
        <f>IF(M$116="","",SUMIFS($D$65:$D$86,$C$65:$C$86,'Detailed Feasibility'!$B123,$I$65:$I$86,'Detailed Feasibility'!M$116))</f>
        <v>0</v>
      </c>
      <c r="N123" s="548">
        <f>IF(N$116="","",SUMIFS($D$65:$D$86,$C$65:$C$86,'Detailed Feasibility'!$B123,$I$65:$I$86,'Detailed Feasibility'!N$116))</f>
        <v>0</v>
      </c>
      <c r="O123" s="548">
        <f>IF(O$116="","",SUMIFS($D$65:$D$86,$C$65:$C$86,'Detailed Feasibility'!$B123,$I$65:$I$86,'Detailed Feasibility'!O$116))</f>
        <v>0</v>
      </c>
      <c r="P123" s="548">
        <f>IF(P$116="","",SUMIFS($D$65:$D$86,$C$65:$C$86,'Detailed Feasibility'!$B123,$I$65:$I$86,'Detailed Feasibility'!P$116))</f>
        <v>0</v>
      </c>
      <c r="Q123" s="548">
        <f>IF(Q$116="","",SUMIFS($D$65:$D$86,$C$65:$C$86,'Detailed Feasibility'!$B123,$I$65:$I$86,'Detailed Feasibility'!Q$116))</f>
        <v>0</v>
      </c>
      <c r="R123" s="548">
        <f>IF(R$116="","",SUMIFS($D$65:$D$86,$C$65:$C$86,'Detailed Feasibility'!$B123,$I$65:$I$86,'Detailed Feasibility'!R$116))</f>
        <v>0</v>
      </c>
      <c r="S123" s="548">
        <f>IF(S$116="","",SUMIFS($D$65:$D$86,$C$65:$C$86,'Detailed Feasibility'!$B123,$I$65:$I$86,'Detailed Feasibility'!S$116))</f>
        <v>0</v>
      </c>
      <c r="T123" s="548">
        <f>IF(T$116="","",SUMIFS($D$65:$D$86,$C$65:$C$86,'Detailed Feasibility'!$B123,$I$65:$I$86,'Detailed Feasibility'!T$116))</f>
        <v>0</v>
      </c>
      <c r="U123" s="548">
        <f>IF(U$116="","",SUMIFS($D$65:$D$86,$C$65:$C$86,'Detailed Feasibility'!$B123,$I$65:$I$86,'Detailed Feasibility'!U$116))</f>
        <v>0</v>
      </c>
      <c r="V123" s="548">
        <f>IF(V$116="","",SUMIFS($D$65:$D$86,$C$65:$C$86,'Detailed Feasibility'!$B123,$I$65:$I$86,'Detailed Feasibility'!V$116))</f>
        <v>0</v>
      </c>
      <c r="W123" s="548">
        <f>IF(W$116="","",SUMIFS($D$65:$D$86,$C$65:$C$86,'Detailed Feasibility'!$B123,$I$65:$I$86,'Detailed Feasibility'!W$116))</f>
        <v>0</v>
      </c>
      <c r="X123" s="548">
        <f>IF(X$116="","",SUMIFS($D$65:$D$86,$C$65:$C$86,'Detailed Feasibility'!$B123,$I$65:$I$86,'Detailed Feasibility'!X$116))</f>
        <v>0</v>
      </c>
      <c r="Y123" s="548">
        <f>IF(Y$116="","",SUMIFS($D$65:$D$86,$C$65:$C$86,'Detailed Feasibility'!$B123,$I$65:$I$86,'Detailed Feasibility'!Y$116))</f>
        <v>0</v>
      </c>
      <c r="Z123" s="548">
        <f>IF(Z$116="","",SUMIFS($D$65:$D$86,$C$65:$C$86,'Detailed Feasibility'!$B123,$I$65:$I$86,'Detailed Feasibility'!Z$116))</f>
        <v>0</v>
      </c>
      <c r="AA123" s="548">
        <f>IF(AA$116="","",SUMIFS($D$65:$D$86,$C$65:$C$86,'Detailed Feasibility'!$B123,$I$65:$I$86,'Detailed Feasibility'!AA$116))</f>
        <v>0</v>
      </c>
      <c r="AB123" s="548">
        <f>IF(AB$116="","",SUMIFS($D$65:$D$86,$C$65:$C$86,'Detailed Feasibility'!$B123,$I$65:$I$86,'Detailed Feasibility'!AB$116))</f>
        <v>0</v>
      </c>
      <c r="AC123" s="548">
        <f>IF(AC$116="","",SUMIFS($D$65:$D$86,$C$65:$C$86,'Detailed Feasibility'!$B123,$I$65:$I$86,'Detailed Feasibility'!AC$116))</f>
        <v>0</v>
      </c>
      <c r="AD123" s="548">
        <f>IF(AD$116="","",SUMIFS($D$65:$D$86,$C$65:$C$86,'Detailed Feasibility'!$B123,$I$65:$I$86,'Detailed Feasibility'!AD$116))</f>
        <v>0</v>
      </c>
      <c r="AE123" s="548">
        <f>IF(AE$116="","",SUMIFS($D$65:$D$86,$C$65:$C$86,'Detailed Feasibility'!$B123,$I$65:$I$86,'Detailed Feasibility'!AE$116))</f>
        <v>0</v>
      </c>
      <c r="AF123" s="548">
        <f>IF(AF$116="","",SUMIFS($D$65:$D$86,$C$65:$C$86,'Detailed Feasibility'!$B123,$I$65:$I$86,'Detailed Feasibility'!AF$116))</f>
        <v>0</v>
      </c>
      <c r="AG123" s="548">
        <f>IF(AG$116="","",SUMIFS($D$65:$D$86,$C$65:$C$86,'Detailed Feasibility'!$B123,$I$65:$I$86,'Detailed Feasibility'!AG$116))</f>
        <v>0</v>
      </c>
      <c r="AH123" s="548">
        <f>IF(AH$116="","",SUMIFS($D$65:$D$86,$C$65:$C$86,'Detailed Feasibility'!$B123,$I$65:$I$86,'Detailed Feasibility'!AH$116))</f>
        <v>0</v>
      </c>
      <c r="AI123" s="548">
        <f>IF(AI$116="","",SUMIFS($D$65:$D$86,$C$65:$C$86,'Detailed Feasibility'!$B123,$I$65:$I$86,'Detailed Feasibility'!AI$116))</f>
        <v>0</v>
      </c>
      <c r="AJ123" s="548">
        <f>IF(AJ$116="","",SUMIFS($D$65:$D$86,$C$65:$C$86,'Detailed Feasibility'!$B123,$I$65:$I$86,'Detailed Feasibility'!AJ$116))</f>
        <v>0</v>
      </c>
      <c r="AK123" s="548">
        <f>IF(AK$116="","",SUMIFS($D$65:$D$86,$C$65:$C$86,'Detailed Feasibility'!$B123,$I$65:$I$86,'Detailed Feasibility'!AK$116))</f>
        <v>0</v>
      </c>
      <c r="AL123" s="548">
        <f>IF(AL$116="","",SUMIFS($D$65:$D$86,$C$65:$C$86,'Detailed Feasibility'!$B123,$I$65:$I$86,'Detailed Feasibility'!AL$116))</f>
        <v>0</v>
      </c>
      <c r="AM123" s="548">
        <f>IF(AM$116="","",SUMIFS($D$65:$D$86,$C$65:$C$86,'Detailed Feasibility'!$B123,$I$65:$I$86,'Detailed Feasibility'!AM$116))</f>
        <v>0</v>
      </c>
      <c r="AN123" s="548">
        <f>IF(AN$116="","",SUMIFS($D$65:$D$86,$C$65:$C$86,'Detailed Feasibility'!$B123,$I$65:$I$86,'Detailed Feasibility'!AN$116))</f>
        <v>0</v>
      </c>
      <c r="AO123" s="548">
        <f>IF(AO$116="","",SUMIFS($D$65:$D$86,$C$65:$C$86,'Detailed Feasibility'!$B123,$I$65:$I$86,'Detailed Feasibility'!AO$116))</f>
        <v>0</v>
      </c>
      <c r="AP123" s="548">
        <f>IF(AP$116="","",SUMIFS($D$65:$D$86,$C$65:$C$86,'Detailed Feasibility'!$B123,$I$65:$I$86,'Detailed Feasibility'!AP$116))</f>
        <v>0</v>
      </c>
      <c r="AQ123" s="548" t="str">
        <f>IF(AQ$116="","",SUMIFS($D$65:$D$86,$C$65:$C$86,'Detailed Feasibility'!$B123,$I$65:$I$86,'Detailed Feasibility'!AQ$116))</f>
        <v/>
      </c>
      <c r="AR123" s="548" t="str">
        <f>IF(AR$116="","",SUMIFS($D$65:$D$86,$C$65:$C$86,'Detailed Feasibility'!$B123,$I$65:$I$86,'Detailed Feasibility'!AR$116))</f>
        <v/>
      </c>
      <c r="AS123" s="548" t="str">
        <f>IF(AS$116="","",SUMIFS($D$65:$D$86,$C$65:$C$86,'Detailed Feasibility'!$B123,$I$65:$I$86,'Detailed Feasibility'!AS$116))</f>
        <v/>
      </c>
      <c r="AT123" s="548" t="str">
        <f>IF(AT$116="","",SUMIFS($D$65:$D$86,$C$65:$C$86,'Detailed Feasibility'!$B123,$I$65:$I$86,'Detailed Feasibility'!AT$116))</f>
        <v/>
      </c>
      <c r="AU123" s="548" t="str">
        <f>IF(AU$116="","",SUMIFS($D$65:$D$86,$C$65:$C$86,'Detailed Feasibility'!$B123,$I$65:$I$86,'Detailed Feasibility'!AU$116))</f>
        <v/>
      </c>
      <c r="AV123" s="548" t="str">
        <f>IF(AV$116="","",SUMIFS($D$65:$D$86,$C$65:$C$86,'Detailed Feasibility'!$B123,$I$65:$I$86,'Detailed Feasibility'!AV$116))</f>
        <v/>
      </c>
      <c r="AW123" s="548" t="str">
        <f>IF(AW$116="","",SUMIFS($D$65:$D$86,$C$65:$C$86,'Detailed Feasibility'!$B123,$I$65:$I$86,'Detailed Feasibility'!AW$116))</f>
        <v/>
      </c>
      <c r="AX123" s="548" t="str">
        <f>IF(AX$116="","",SUMIFS($D$65:$D$86,$C$65:$C$86,'Detailed Feasibility'!$B123,$I$65:$I$86,'Detailed Feasibility'!AX$116))</f>
        <v/>
      </c>
      <c r="AY123" s="548" t="str">
        <f>IF(AY$116="","",SUMIFS($D$65:$D$86,$C$65:$C$86,'Detailed Feasibility'!$B123,$I$65:$I$86,'Detailed Feasibility'!AY$116))</f>
        <v/>
      </c>
      <c r="AZ123" s="548" t="str">
        <f>IF(AZ$116="","",SUMIFS($D$65:$D$86,$C$65:$C$86,'Detailed Feasibility'!$B123,$I$65:$I$86,'Detailed Feasibility'!AZ$116))</f>
        <v/>
      </c>
      <c r="BA123" s="548" t="str">
        <f>IF(BA$116="","",SUMIFS($D$65:$D$86,$C$65:$C$86,'Detailed Feasibility'!$B123,$I$65:$I$86,'Detailed Feasibility'!BA$116))</f>
        <v/>
      </c>
      <c r="BB123" s="548" t="str">
        <f>IF(BB$116="","",SUMIFS($D$65:$D$86,$C$65:$C$86,'Detailed Feasibility'!$B123,$I$65:$I$86,'Detailed Feasibility'!BB$116))</f>
        <v/>
      </c>
      <c r="BC123" s="548" t="str">
        <f>IF(BC$116="","",SUMIFS($D$65:$D$86,$C$65:$C$86,'Detailed Feasibility'!$B123,$I$65:$I$86,'Detailed Feasibility'!BC$116))</f>
        <v/>
      </c>
      <c r="BD123" s="548" t="str">
        <f>IF(BD$116="","",SUMIFS($D$65:$D$86,$C$65:$C$86,'Detailed Feasibility'!$B123,$I$65:$I$86,'Detailed Feasibility'!BD$116))</f>
        <v/>
      </c>
      <c r="BE123" s="548" t="str">
        <f>IF(BE$116="","",SUMIFS($D$65:$D$86,$C$65:$C$86,'Detailed Feasibility'!$B123,$I$65:$I$86,'Detailed Feasibility'!BE$116))</f>
        <v/>
      </c>
      <c r="BF123" s="548" t="str">
        <f>IF(BF$116="","",SUMIFS($D$65:$D$86,$C$65:$C$86,'Detailed Feasibility'!$B123,$I$65:$I$86,'Detailed Feasibility'!BF$116))</f>
        <v/>
      </c>
      <c r="BG123" s="548" t="str">
        <f>IF(BG$116="","",SUMIFS($D$65:$D$86,$C$65:$C$86,'Detailed Feasibility'!$B123,$I$65:$I$86,'Detailed Feasibility'!BG$116))</f>
        <v/>
      </c>
      <c r="BH123" s="548" t="str">
        <f>IF(BH$116="","",SUMIFS($D$65:$D$86,$C$65:$C$86,'Detailed Feasibility'!$B123,$I$65:$I$86,'Detailed Feasibility'!BH$116))</f>
        <v/>
      </c>
      <c r="BI123" s="548" t="str">
        <f>IF(BI$116="","",SUMIFS($D$65:$D$86,$C$65:$C$86,'Detailed Feasibility'!$B123,$I$65:$I$86,'Detailed Feasibility'!BI$116))</f>
        <v/>
      </c>
      <c r="BJ123" s="548" t="str">
        <f>IF(BJ$116="","",SUMIFS($D$65:$D$86,$C$65:$C$86,'Detailed Feasibility'!$B123,$I$65:$I$86,'Detailed Feasibility'!BJ$116))</f>
        <v/>
      </c>
      <c r="BK123" s="548" t="str">
        <f>IF(BK$116="","",SUMIFS($D$65:$D$86,$C$65:$C$86,'Detailed Feasibility'!$B123,$I$65:$I$86,'Detailed Feasibility'!BK$116))</f>
        <v/>
      </c>
      <c r="BL123" s="548" t="str">
        <f>IF(BL$116="","",SUMIFS($D$65:$D$86,$C$65:$C$86,'Detailed Feasibility'!$B123,$I$65:$I$86,'Detailed Feasibility'!BL$116))</f>
        <v/>
      </c>
      <c r="BM123" s="56" t="str">
        <f>IF(BM$116="","",SUMIFS($D$65:$D$86,$C$65:$C$86,'Detailed Feasibility'!$B123,$I$65:$I$86,'Detailed Feasibility'!BM$116))</f>
        <v/>
      </c>
    </row>
    <row r="124" spans="2:65" s="1" customFormat="1" x14ac:dyDescent="0.25">
      <c r="B124" s="547" t="str">
        <f>$B$98</f>
        <v>6 Bed</v>
      </c>
      <c r="C124" s="43"/>
      <c r="D124" s="20">
        <f>'Detailed Feasibility Inputs'!$I$46*'Detailed Feasibility Inputs'!$C$46</f>
        <v>0</v>
      </c>
      <c r="E124" s="187">
        <f t="shared" si="9"/>
        <v>1</v>
      </c>
      <c r="F124" s="548">
        <f>IF(F$116="","",SUMIFS($D$65:$D$86,$C$65:$C$86,'Detailed Feasibility'!$B124,$I$65:$I$86,'Detailed Feasibility'!F$116))</f>
        <v>0</v>
      </c>
      <c r="G124" s="548">
        <f>IF(G$116="","",SUMIFS($D$65:$D$86,$C$65:$C$86,'Detailed Feasibility'!$B124,$I$65:$I$86,'Detailed Feasibility'!G$116))</f>
        <v>0</v>
      </c>
      <c r="H124" s="548">
        <f>IF(H$116="","",SUMIFS($D$65:$D$86,$C$65:$C$86,'Detailed Feasibility'!$B124,$I$65:$I$86,'Detailed Feasibility'!H$116))</f>
        <v>0</v>
      </c>
      <c r="I124" s="548">
        <f>IF(I$116="","",SUMIFS($D$65:$D$86,$C$65:$C$86,'Detailed Feasibility'!$B124,$I$65:$I$86,'Detailed Feasibility'!I$116))</f>
        <v>0</v>
      </c>
      <c r="J124" s="548">
        <f>IF(J$116="","",SUMIFS($D$65:$D$86,$C$65:$C$86,'Detailed Feasibility'!$B124,$I$65:$I$86,'Detailed Feasibility'!J$116))</f>
        <v>0</v>
      </c>
      <c r="K124" s="548">
        <f>IF(K$116="","",SUMIFS($D$65:$D$86,$C$65:$C$86,'Detailed Feasibility'!$B124,$I$65:$I$86,'Detailed Feasibility'!K$116))</f>
        <v>0</v>
      </c>
      <c r="L124" s="548">
        <f>IF(L$116="","",SUMIFS($D$65:$D$86,$C$65:$C$86,'Detailed Feasibility'!$B124,$I$65:$I$86,'Detailed Feasibility'!L$116))</f>
        <v>0</v>
      </c>
      <c r="M124" s="548">
        <f>IF(M$116="","",SUMIFS($D$65:$D$86,$C$65:$C$86,'Detailed Feasibility'!$B124,$I$65:$I$86,'Detailed Feasibility'!M$116))</f>
        <v>0</v>
      </c>
      <c r="N124" s="548">
        <f>IF(N$116="","",SUMIFS($D$65:$D$86,$C$65:$C$86,'Detailed Feasibility'!$B124,$I$65:$I$86,'Detailed Feasibility'!N$116))</f>
        <v>0</v>
      </c>
      <c r="O124" s="548">
        <f>IF(O$116="","",SUMIFS($D$65:$D$86,$C$65:$C$86,'Detailed Feasibility'!$B124,$I$65:$I$86,'Detailed Feasibility'!O$116))</f>
        <v>0</v>
      </c>
      <c r="P124" s="548">
        <f>IF(P$116="","",SUMIFS($D$65:$D$86,$C$65:$C$86,'Detailed Feasibility'!$B124,$I$65:$I$86,'Detailed Feasibility'!P$116))</f>
        <v>0</v>
      </c>
      <c r="Q124" s="548">
        <f>IF(Q$116="","",SUMIFS($D$65:$D$86,$C$65:$C$86,'Detailed Feasibility'!$B124,$I$65:$I$86,'Detailed Feasibility'!Q$116))</f>
        <v>0</v>
      </c>
      <c r="R124" s="548">
        <f>IF(R$116="","",SUMIFS($D$65:$D$86,$C$65:$C$86,'Detailed Feasibility'!$B124,$I$65:$I$86,'Detailed Feasibility'!R$116))</f>
        <v>0</v>
      </c>
      <c r="S124" s="548">
        <f>IF(S$116="","",SUMIFS($D$65:$D$86,$C$65:$C$86,'Detailed Feasibility'!$B124,$I$65:$I$86,'Detailed Feasibility'!S$116))</f>
        <v>0</v>
      </c>
      <c r="T124" s="548">
        <f>IF(T$116="","",SUMIFS($D$65:$D$86,$C$65:$C$86,'Detailed Feasibility'!$B124,$I$65:$I$86,'Detailed Feasibility'!T$116))</f>
        <v>0</v>
      </c>
      <c r="U124" s="548">
        <f>IF(U$116="","",SUMIFS($D$65:$D$86,$C$65:$C$86,'Detailed Feasibility'!$B124,$I$65:$I$86,'Detailed Feasibility'!U$116))</f>
        <v>0</v>
      </c>
      <c r="V124" s="548">
        <f>IF(V$116="","",SUMIFS($D$65:$D$86,$C$65:$C$86,'Detailed Feasibility'!$B124,$I$65:$I$86,'Detailed Feasibility'!V$116))</f>
        <v>0</v>
      </c>
      <c r="W124" s="548">
        <f>IF(W$116="","",SUMIFS($D$65:$D$86,$C$65:$C$86,'Detailed Feasibility'!$B124,$I$65:$I$86,'Detailed Feasibility'!W$116))</f>
        <v>0</v>
      </c>
      <c r="X124" s="548">
        <f>IF(X$116="","",SUMIFS($D$65:$D$86,$C$65:$C$86,'Detailed Feasibility'!$B124,$I$65:$I$86,'Detailed Feasibility'!X$116))</f>
        <v>0</v>
      </c>
      <c r="Y124" s="548">
        <f>IF(Y$116="","",SUMIFS($D$65:$D$86,$C$65:$C$86,'Detailed Feasibility'!$B124,$I$65:$I$86,'Detailed Feasibility'!Y$116))</f>
        <v>0</v>
      </c>
      <c r="Z124" s="548">
        <f>IF(Z$116="","",SUMIFS($D$65:$D$86,$C$65:$C$86,'Detailed Feasibility'!$B124,$I$65:$I$86,'Detailed Feasibility'!Z$116))</f>
        <v>0</v>
      </c>
      <c r="AA124" s="548">
        <f>IF(AA$116="","",SUMIFS($D$65:$D$86,$C$65:$C$86,'Detailed Feasibility'!$B124,$I$65:$I$86,'Detailed Feasibility'!AA$116))</f>
        <v>0</v>
      </c>
      <c r="AB124" s="548">
        <f>IF(AB$116="","",SUMIFS($D$65:$D$86,$C$65:$C$86,'Detailed Feasibility'!$B124,$I$65:$I$86,'Detailed Feasibility'!AB$116))</f>
        <v>0</v>
      </c>
      <c r="AC124" s="548">
        <f>IF(AC$116="","",SUMIFS($D$65:$D$86,$C$65:$C$86,'Detailed Feasibility'!$B124,$I$65:$I$86,'Detailed Feasibility'!AC$116))</f>
        <v>0</v>
      </c>
      <c r="AD124" s="548">
        <f>IF(AD$116="","",SUMIFS($D$65:$D$86,$C$65:$C$86,'Detailed Feasibility'!$B124,$I$65:$I$86,'Detailed Feasibility'!AD$116))</f>
        <v>0</v>
      </c>
      <c r="AE124" s="548">
        <f>IF(AE$116="","",SUMIFS($D$65:$D$86,$C$65:$C$86,'Detailed Feasibility'!$B124,$I$65:$I$86,'Detailed Feasibility'!AE$116))</f>
        <v>0</v>
      </c>
      <c r="AF124" s="548">
        <f>IF(AF$116="","",SUMIFS($D$65:$D$86,$C$65:$C$86,'Detailed Feasibility'!$B124,$I$65:$I$86,'Detailed Feasibility'!AF$116))</f>
        <v>0</v>
      </c>
      <c r="AG124" s="548">
        <f>IF(AG$116="","",SUMIFS($D$65:$D$86,$C$65:$C$86,'Detailed Feasibility'!$B124,$I$65:$I$86,'Detailed Feasibility'!AG$116))</f>
        <v>0</v>
      </c>
      <c r="AH124" s="548">
        <f>IF(AH$116="","",SUMIFS($D$65:$D$86,$C$65:$C$86,'Detailed Feasibility'!$B124,$I$65:$I$86,'Detailed Feasibility'!AH$116))</f>
        <v>0</v>
      </c>
      <c r="AI124" s="548">
        <f>IF(AI$116="","",SUMIFS($D$65:$D$86,$C$65:$C$86,'Detailed Feasibility'!$B124,$I$65:$I$86,'Detailed Feasibility'!AI$116))</f>
        <v>0</v>
      </c>
      <c r="AJ124" s="548">
        <f>IF(AJ$116="","",SUMIFS($D$65:$D$86,$C$65:$C$86,'Detailed Feasibility'!$B124,$I$65:$I$86,'Detailed Feasibility'!AJ$116))</f>
        <v>0</v>
      </c>
      <c r="AK124" s="548">
        <f>IF(AK$116="","",SUMIFS($D$65:$D$86,$C$65:$C$86,'Detailed Feasibility'!$B124,$I$65:$I$86,'Detailed Feasibility'!AK$116))</f>
        <v>0</v>
      </c>
      <c r="AL124" s="548">
        <f>IF(AL$116="","",SUMIFS($D$65:$D$86,$C$65:$C$86,'Detailed Feasibility'!$B124,$I$65:$I$86,'Detailed Feasibility'!AL$116))</f>
        <v>0</v>
      </c>
      <c r="AM124" s="548">
        <f>IF(AM$116="","",SUMIFS($D$65:$D$86,$C$65:$C$86,'Detailed Feasibility'!$B124,$I$65:$I$86,'Detailed Feasibility'!AM$116))</f>
        <v>0</v>
      </c>
      <c r="AN124" s="548">
        <f>IF(AN$116="","",SUMIFS($D$65:$D$86,$C$65:$C$86,'Detailed Feasibility'!$B124,$I$65:$I$86,'Detailed Feasibility'!AN$116))</f>
        <v>0</v>
      </c>
      <c r="AO124" s="548">
        <f>IF(AO$116="","",SUMIFS($D$65:$D$86,$C$65:$C$86,'Detailed Feasibility'!$B124,$I$65:$I$86,'Detailed Feasibility'!AO$116))</f>
        <v>0</v>
      </c>
      <c r="AP124" s="548">
        <f>IF(AP$116="","",SUMIFS($D$65:$D$86,$C$65:$C$86,'Detailed Feasibility'!$B124,$I$65:$I$86,'Detailed Feasibility'!AP$116))</f>
        <v>0</v>
      </c>
      <c r="AQ124" s="548" t="str">
        <f>IF(AQ$116="","",SUMIFS($D$65:$D$86,$C$65:$C$86,'Detailed Feasibility'!$B124,$I$65:$I$86,'Detailed Feasibility'!AQ$116))</f>
        <v/>
      </c>
      <c r="AR124" s="548" t="str">
        <f>IF(AR$116="","",SUMIFS($D$65:$D$86,$C$65:$C$86,'Detailed Feasibility'!$B124,$I$65:$I$86,'Detailed Feasibility'!AR$116))</f>
        <v/>
      </c>
      <c r="AS124" s="548" t="str">
        <f>IF(AS$116="","",SUMIFS($D$65:$D$86,$C$65:$C$86,'Detailed Feasibility'!$B124,$I$65:$I$86,'Detailed Feasibility'!AS$116))</f>
        <v/>
      </c>
      <c r="AT124" s="548" t="str">
        <f>IF(AT$116="","",SUMIFS($D$65:$D$86,$C$65:$C$86,'Detailed Feasibility'!$B124,$I$65:$I$86,'Detailed Feasibility'!AT$116))</f>
        <v/>
      </c>
      <c r="AU124" s="548" t="str">
        <f>IF(AU$116="","",SUMIFS($D$65:$D$86,$C$65:$C$86,'Detailed Feasibility'!$B124,$I$65:$I$86,'Detailed Feasibility'!AU$116))</f>
        <v/>
      </c>
      <c r="AV124" s="548" t="str">
        <f>IF(AV$116="","",SUMIFS($D$65:$D$86,$C$65:$C$86,'Detailed Feasibility'!$B124,$I$65:$I$86,'Detailed Feasibility'!AV$116))</f>
        <v/>
      </c>
      <c r="AW124" s="548" t="str">
        <f>IF(AW$116="","",SUMIFS($D$65:$D$86,$C$65:$C$86,'Detailed Feasibility'!$B124,$I$65:$I$86,'Detailed Feasibility'!AW$116))</f>
        <v/>
      </c>
      <c r="AX124" s="548" t="str">
        <f>IF(AX$116="","",SUMIFS($D$65:$D$86,$C$65:$C$86,'Detailed Feasibility'!$B124,$I$65:$I$86,'Detailed Feasibility'!AX$116))</f>
        <v/>
      </c>
      <c r="AY124" s="548" t="str">
        <f>IF(AY$116="","",SUMIFS($D$65:$D$86,$C$65:$C$86,'Detailed Feasibility'!$B124,$I$65:$I$86,'Detailed Feasibility'!AY$116))</f>
        <v/>
      </c>
      <c r="AZ124" s="548" t="str">
        <f>IF(AZ$116="","",SUMIFS($D$65:$D$86,$C$65:$C$86,'Detailed Feasibility'!$B124,$I$65:$I$86,'Detailed Feasibility'!AZ$116))</f>
        <v/>
      </c>
      <c r="BA124" s="548" t="str">
        <f>IF(BA$116="","",SUMIFS($D$65:$D$86,$C$65:$C$86,'Detailed Feasibility'!$B124,$I$65:$I$86,'Detailed Feasibility'!BA$116))</f>
        <v/>
      </c>
      <c r="BB124" s="548" t="str">
        <f>IF(BB$116="","",SUMIFS($D$65:$D$86,$C$65:$C$86,'Detailed Feasibility'!$B124,$I$65:$I$86,'Detailed Feasibility'!BB$116))</f>
        <v/>
      </c>
      <c r="BC124" s="548" t="str">
        <f>IF(BC$116="","",SUMIFS($D$65:$D$86,$C$65:$C$86,'Detailed Feasibility'!$B124,$I$65:$I$86,'Detailed Feasibility'!BC$116))</f>
        <v/>
      </c>
      <c r="BD124" s="548" t="str">
        <f>IF(BD$116="","",SUMIFS($D$65:$D$86,$C$65:$C$86,'Detailed Feasibility'!$B124,$I$65:$I$86,'Detailed Feasibility'!BD$116))</f>
        <v/>
      </c>
      <c r="BE124" s="548" t="str">
        <f>IF(BE$116="","",SUMIFS($D$65:$D$86,$C$65:$C$86,'Detailed Feasibility'!$B124,$I$65:$I$86,'Detailed Feasibility'!BE$116))</f>
        <v/>
      </c>
      <c r="BF124" s="548" t="str">
        <f>IF(BF$116="","",SUMIFS($D$65:$D$86,$C$65:$C$86,'Detailed Feasibility'!$B124,$I$65:$I$86,'Detailed Feasibility'!BF$116))</f>
        <v/>
      </c>
      <c r="BG124" s="548" t="str">
        <f>IF(BG$116="","",SUMIFS($D$65:$D$86,$C$65:$C$86,'Detailed Feasibility'!$B124,$I$65:$I$86,'Detailed Feasibility'!BG$116))</f>
        <v/>
      </c>
      <c r="BH124" s="548" t="str">
        <f>IF(BH$116="","",SUMIFS($D$65:$D$86,$C$65:$C$86,'Detailed Feasibility'!$B124,$I$65:$I$86,'Detailed Feasibility'!BH$116))</f>
        <v/>
      </c>
      <c r="BI124" s="548" t="str">
        <f>IF(BI$116="","",SUMIFS($D$65:$D$86,$C$65:$C$86,'Detailed Feasibility'!$B124,$I$65:$I$86,'Detailed Feasibility'!BI$116))</f>
        <v/>
      </c>
      <c r="BJ124" s="548" t="str">
        <f>IF(BJ$116="","",SUMIFS($D$65:$D$86,$C$65:$C$86,'Detailed Feasibility'!$B124,$I$65:$I$86,'Detailed Feasibility'!BJ$116))</f>
        <v/>
      </c>
      <c r="BK124" s="548" t="str">
        <f>IF(BK$116="","",SUMIFS($D$65:$D$86,$C$65:$C$86,'Detailed Feasibility'!$B124,$I$65:$I$86,'Detailed Feasibility'!BK$116))</f>
        <v/>
      </c>
      <c r="BL124" s="548" t="str">
        <f>IF(BL$116="","",SUMIFS($D$65:$D$86,$C$65:$C$86,'Detailed Feasibility'!$B124,$I$65:$I$86,'Detailed Feasibility'!BL$116))</f>
        <v/>
      </c>
      <c r="BM124" s="56" t="str">
        <f>IF(BM$116="","",SUMIFS($D$65:$D$86,$C$65:$C$86,'Detailed Feasibility'!$B124,$I$65:$I$86,'Detailed Feasibility'!BM$116))</f>
        <v/>
      </c>
    </row>
    <row r="125" spans="2:65" s="1" customFormat="1" x14ac:dyDescent="0.25">
      <c r="B125" s="549" t="s">
        <v>312</v>
      </c>
      <c r="C125" s="43"/>
      <c r="D125" s="20">
        <f>SUM($D$119:$D$124)-(SUM($D$119:$D$124)/1.15)</f>
        <v>822391.30434782524</v>
      </c>
      <c r="E125" s="187"/>
      <c r="F125" s="548">
        <f>SUM(F119:F124)-(SUM(F119:F124)/1.15)</f>
        <v>0</v>
      </c>
      <c r="G125" s="548">
        <f>IF(G$116="","",SUM(G119:G124)-(SUM(G119:G124)/1.15))</f>
        <v>0</v>
      </c>
      <c r="H125" s="548">
        <f t="shared" ref="H125:BM125" si="10">IF(H$116="","",SUM(H119:H124)-(SUM(H119:H124)/1.15))</f>
        <v>0</v>
      </c>
      <c r="I125" s="548">
        <f t="shared" si="10"/>
        <v>0</v>
      </c>
      <c r="J125" s="548">
        <f t="shared" si="10"/>
        <v>0</v>
      </c>
      <c r="K125" s="548">
        <f t="shared" si="10"/>
        <v>0</v>
      </c>
      <c r="L125" s="548">
        <f t="shared" si="10"/>
        <v>0</v>
      </c>
      <c r="M125" s="548">
        <f t="shared" si="10"/>
        <v>0</v>
      </c>
      <c r="N125" s="548">
        <f t="shared" si="10"/>
        <v>0</v>
      </c>
      <c r="O125" s="548">
        <f t="shared" si="10"/>
        <v>0</v>
      </c>
      <c r="P125" s="548">
        <f t="shared" si="10"/>
        <v>0</v>
      </c>
      <c r="Q125" s="548">
        <f t="shared" si="10"/>
        <v>0</v>
      </c>
      <c r="R125" s="548">
        <f t="shared" si="10"/>
        <v>0</v>
      </c>
      <c r="S125" s="548">
        <f t="shared" si="10"/>
        <v>0</v>
      </c>
      <c r="T125" s="548">
        <f t="shared" si="10"/>
        <v>0</v>
      </c>
      <c r="U125" s="548">
        <f t="shared" si="10"/>
        <v>0</v>
      </c>
      <c r="V125" s="548">
        <f t="shared" si="10"/>
        <v>0</v>
      </c>
      <c r="W125" s="548">
        <f t="shared" si="10"/>
        <v>0</v>
      </c>
      <c r="X125" s="548">
        <f>IF(X$116="","",SUM(X119:X124)-(SUM(X119:X124)/1.15))</f>
        <v>284999.99999999977</v>
      </c>
      <c r="Y125" s="548">
        <f t="shared" si="10"/>
        <v>0</v>
      </c>
      <c r="Z125" s="548">
        <f t="shared" si="10"/>
        <v>0</v>
      </c>
      <c r="AA125" s="548">
        <f t="shared" si="10"/>
        <v>0</v>
      </c>
      <c r="AB125" s="548">
        <f t="shared" si="10"/>
        <v>0</v>
      </c>
      <c r="AC125" s="548">
        <f t="shared" si="10"/>
        <v>0</v>
      </c>
      <c r="AD125" s="548">
        <f t="shared" si="10"/>
        <v>0</v>
      </c>
      <c r="AE125" s="548">
        <f>IF(AE$116="","",SUM(AE119:AE124)-(SUM(AE119:AE124)/1.15))</f>
        <v>263478.26086956519</v>
      </c>
      <c r="AF125" s="548">
        <f t="shared" si="10"/>
        <v>0</v>
      </c>
      <c r="AG125" s="548">
        <f t="shared" si="10"/>
        <v>0</v>
      </c>
      <c r="AH125" s="548">
        <f>IF(AH$116="","",SUM(AH119:AH124)-(SUM(AH119:AH124)/1.15))</f>
        <v>273913.04347826075</v>
      </c>
      <c r="AI125" s="548">
        <f t="shared" si="10"/>
        <v>0</v>
      </c>
      <c r="AJ125" s="548">
        <f t="shared" si="10"/>
        <v>0</v>
      </c>
      <c r="AK125" s="548">
        <f t="shared" si="10"/>
        <v>0</v>
      </c>
      <c r="AL125" s="548">
        <f t="shared" si="10"/>
        <v>0</v>
      </c>
      <c r="AM125" s="548">
        <f t="shared" si="10"/>
        <v>0</v>
      </c>
      <c r="AN125" s="548">
        <f t="shared" si="10"/>
        <v>0</v>
      </c>
      <c r="AO125" s="548">
        <f t="shared" si="10"/>
        <v>0</v>
      </c>
      <c r="AP125" s="548">
        <f t="shared" si="10"/>
        <v>0</v>
      </c>
      <c r="AQ125" s="548" t="str">
        <f t="shared" si="10"/>
        <v/>
      </c>
      <c r="AR125" s="548" t="str">
        <f>IF(AR$116="","",SUM(AR119:AR124)-(SUM(AR119:AR124)/1.15))</f>
        <v/>
      </c>
      <c r="AS125" s="548" t="str">
        <f t="shared" si="10"/>
        <v/>
      </c>
      <c r="AT125" s="548" t="str">
        <f t="shared" si="10"/>
        <v/>
      </c>
      <c r="AU125" s="548" t="str">
        <f t="shared" si="10"/>
        <v/>
      </c>
      <c r="AV125" s="548" t="str">
        <f t="shared" si="10"/>
        <v/>
      </c>
      <c r="AW125" s="548" t="str">
        <f t="shared" si="10"/>
        <v/>
      </c>
      <c r="AX125" s="548" t="str">
        <f t="shared" si="10"/>
        <v/>
      </c>
      <c r="AY125" s="548" t="str">
        <f t="shared" si="10"/>
        <v/>
      </c>
      <c r="AZ125" s="548" t="str">
        <f t="shared" si="10"/>
        <v/>
      </c>
      <c r="BA125" s="548" t="str">
        <f t="shared" si="10"/>
        <v/>
      </c>
      <c r="BB125" s="548" t="str">
        <f t="shared" si="10"/>
        <v/>
      </c>
      <c r="BC125" s="548" t="str">
        <f t="shared" si="10"/>
        <v/>
      </c>
      <c r="BD125" s="548" t="str">
        <f t="shared" si="10"/>
        <v/>
      </c>
      <c r="BE125" s="548" t="str">
        <f t="shared" si="10"/>
        <v/>
      </c>
      <c r="BF125" s="548" t="str">
        <f t="shared" si="10"/>
        <v/>
      </c>
      <c r="BG125" s="548" t="str">
        <f t="shared" si="10"/>
        <v/>
      </c>
      <c r="BH125" s="548" t="str">
        <f t="shared" si="10"/>
        <v/>
      </c>
      <c r="BI125" s="548" t="str">
        <f t="shared" si="10"/>
        <v/>
      </c>
      <c r="BJ125" s="548" t="str">
        <f t="shared" si="10"/>
        <v/>
      </c>
      <c r="BK125" s="548" t="str">
        <f t="shared" si="10"/>
        <v/>
      </c>
      <c r="BL125" s="548" t="str">
        <f t="shared" si="10"/>
        <v/>
      </c>
      <c r="BM125" s="56" t="str">
        <f t="shared" si="10"/>
        <v/>
      </c>
    </row>
    <row r="126" spans="2:65" s="1" customFormat="1" x14ac:dyDescent="0.25">
      <c r="B126" s="646" t="s">
        <v>113</v>
      </c>
      <c r="C126" s="647"/>
      <c r="D126" s="20">
        <f>SUM($D$119:$D$124)-D125</f>
        <v>5482608.6956521748</v>
      </c>
      <c r="E126" s="187">
        <f>IF(SUM(F126:BM126)=D126,1,0)</f>
        <v>1</v>
      </c>
      <c r="F126" s="548">
        <f>IF(F116="","",SUM(F119:F124)-F125)</f>
        <v>0</v>
      </c>
      <c r="G126" s="548">
        <f t="shared" ref="G126" si="11">IF(G116="","",SUM(G119:G124)-G125)</f>
        <v>0</v>
      </c>
      <c r="H126" s="548">
        <f t="shared" ref="H126:BK126" si="12">IF(H116="","",SUM(H119:H124)-H125)</f>
        <v>0</v>
      </c>
      <c r="I126" s="548">
        <f t="shared" si="12"/>
        <v>0</v>
      </c>
      <c r="J126" s="548">
        <f t="shared" si="12"/>
        <v>0</v>
      </c>
      <c r="K126" s="548">
        <f t="shared" si="12"/>
        <v>0</v>
      </c>
      <c r="L126" s="548">
        <f t="shared" si="12"/>
        <v>0</v>
      </c>
      <c r="M126" s="548">
        <f t="shared" si="12"/>
        <v>0</v>
      </c>
      <c r="N126" s="548">
        <f t="shared" si="12"/>
        <v>0</v>
      </c>
      <c r="O126" s="548">
        <f t="shared" si="12"/>
        <v>0</v>
      </c>
      <c r="P126" s="548">
        <f t="shared" si="12"/>
        <v>0</v>
      </c>
      <c r="Q126" s="548">
        <f t="shared" si="12"/>
        <v>0</v>
      </c>
      <c r="R126" s="548">
        <f t="shared" si="12"/>
        <v>0</v>
      </c>
      <c r="S126" s="548">
        <f t="shared" si="12"/>
        <v>0</v>
      </c>
      <c r="T126" s="548">
        <f t="shared" si="12"/>
        <v>0</v>
      </c>
      <c r="U126" s="548">
        <f t="shared" si="12"/>
        <v>0</v>
      </c>
      <c r="V126" s="548">
        <f t="shared" si="12"/>
        <v>0</v>
      </c>
      <c r="W126" s="548">
        <f t="shared" si="12"/>
        <v>0</v>
      </c>
      <c r="X126" s="548">
        <f t="shared" si="12"/>
        <v>1900000.0000000002</v>
      </c>
      <c r="Y126" s="548">
        <f t="shared" si="12"/>
        <v>0</v>
      </c>
      <c r="Z126" s="548">
        <f t="shared" si="12"/>
        <v>0</v>
      </c>
      <c r="AA126" s="548">
        <f t="shared" si="12"/>
        <v>0</v>
      </c>
      <c r="AB126" s="548">
        <f t="shared" si="12"/>
        <v>0</v>
      </c>
      <c r="AC126" s="548">
        <f t="shared" si="12"/>
        <v>0</v>
      </c>
      <c r="AD126" s="548">
        <f t="shared" si="12"/>
        <v>0</v>
      </c>
      <c r="AE126" s="548">
        <f>IF(AE116="","",SUM(AE119:AE124)-AE125)</f>
        <v>1756521.7391304348</v>
      </c>
      <c r="AF126" s="548">
        <f t="shared" si="12"/>
        <v>0</v>
      </c>
      <c r="AG126" s="548">
        <f t="shared" si="12"/>
        <v>0</v>
      </c>
      <c r="AH126" s="548">
        <f>IF(AH116="","",SUM(AH119:AH124)-AH125)</f>
        <v>1826086.9565217393</v>
      </c>
      <c r="AI126" s="548">
        <f t="shared" si="12"/>
        <v>0</v>
      </c>
      <c r="AJ126" s="548">
        <f t="shared" si="12"/>
        <v>0</v>
      </c>
      <c r="AK126" s="548">
        <f t="shared" si="12"/>
        <v>0</v>
      </c>
      <c r="AL126" s="548">
        <f t="shared" si="12"/>
        <v>0</v>
      </c>
      <c r="AM126" s="548">
        <f t="shared" si="12"/>
        <v>0</v>
      </c>
      <c r="AN126" s="548">
        <f t="shared" si="12"/>
        <v>0</v>
      </c>
      <c r="AO126" s="548">
        <f t="shared" si="12"/>
        <v>0</v>
      </c>
      <c r="AP126" s="548">
        <f t="shared" si="12"/>
        <v>0</v>
      </c>
      <c r="AQ126" s="548" t="str">
        <f t="shared" si="12"/>
        <v/>
      </c>
      <c r="AR126" s="548" t="str">
        <f t="shared" si="12"/>
        <v/>
      </c>
      <c r="AS126" s="548" t="str">
        <f t="shared" si="12"/>
        <v/>
      </c>
      <c r="AT126" s="548" t="str">
        <f t="shared" si="12"/>
        <v/>
      </c>
      <c r="AU126" s="548" t="str">
        <f t="shared" si="12"/>
        <v/>
      </c>
      <c r="AV126" s="548" t="str">
        <f t="shared" si="12"/>
        <v/>
      </c>
      <c r="AW126" s="548" t="str">
        <f t="shared" si="12"/>
        <v/>
      </c>
      <c r="AX126" s="548" t="str">
        <f t="shared" si="12"/>
        <v/>
      </c>
      <c r="AY126" s="548" t="str">
        <f t="shared" si="12"/>
        <v/>
      </c>
      <c r="AZ126" s="548" t="str">
        <f t="shared" si="12"/>
        <v/>
      </c>
      <c r="BA126" s="548" t="str">
        <f t="shared" si="12"/>
        <v/>
      </c>
      <c r="BB126" s="548" t="str">
        <f t="shared" si="12"/>
        <v/>
      </c>
      <c r="BC126" s="548" t="str">
        <f t="shared" si="12"/>
        <v/>
      </c>
      <c r="BD126" s="548" t="str">
        <f t="shared" si="12"/>
        <v/>
      </c>
      <c r="BE126" s="548" t="str">
        <f t="shared" si="12"/>
        <v/>
      </c>
      <c r="BF126" s="548" t="str">
        <f t="shared" si="12"/>
        <v/>
      </c>
      <c r="BG126" s="548" t="str">
        <f t="shared" si="12"/>
        <v/>
      </c>
      <c r="BH126" s="548" t="str">
        <f t="shared" si="12"/>
        <v/>
      </c>
      <c r="BI126" s="548" t="str">
        <f t="shared" si="12"/>
        <v/>
      </c>
      <c r="BJ126" s="548" t="str">
        <f t="shared" si="12"/>
        <v/>
      </c>
      <c r="BK126" s="548" t="str">
        <f t="shared" si="12"/>
        <v/>
      </c>
      <c r="BL126" s="548" t="str">
        <f>IF(BL116="","",SUM(BL119:BL124)-BL125)</f>
        <v/>
      </c>
      <c r="BM126" s="56" t="str">
        <f>IF(BM$116="","",SUMIFS($D$65:$D$86,$C$65:$C$86,'Detailed Feasibility'!$B$119,$J$65:$J$104,'Detailed Feasibility'!BM123))</f>
        <v/>
      </c>
    </row>
    <row r="127" spans="2:65" s="1" customFormat="1" x14ac:dyDescent="0.25">
      <c r="B127" s="42" t="s">
        <v>313</v>
      </c>
      <c r="C127" s="43"/>
      <c r="D127" s="20"/>
      <c r="E127" s="187"/>
      <c r="F127" s="548">
        <f>IF(F116="","",F126)</f>
        <v>0</v>
      </c>
      <c r="G127" s="548">
        <f>IF(G116="","",G126)</f>
        <v>0</v>
      </c>
      <c r="H127" s="548">
        <f>IF(H116="","",H126)</f>
        <v>0</v>
      </c>
      <c r="I127" s="548">
        <f>IF(I116="","",I126)</f>
        <v>0</v>
      </c>
      <c r="J127" s="548">
        <f t="shared" ref="J127:BM127" si="13">IF(J116="","",J126)</f>
        <v>0</v>
      </c>
      <c r="K127" s="548">
        <f t="shared" si="13"/>
        <v>0</v>
      </c>
      <c r="L127" s="548">
        <f t="shared" si="13"/>
        <v>0</v>
      </c>
      <c r="M127" s="548">
        <f t="shared" si="13"/>
        <v>0</v>
      </c>
      <c r="N127" s="548">
        <f t="shared" si="13"/>
        <v>0</v>
      </c>
      <c r="O127" s="548">
        <f t="shared" si="13"/>
        <v>0</v>
      </c>
      <c r="P127" s="548">
        <f t="shared" si="13"/>
        <v>0</v>
      </c>
      <c r="Q127" s="548">
        <f t="shared" si="13"/>
        <v>0</v>
      </c>
      <c r="R127" s="548">
        <f t="shared" si="13"/>
        <v>0</v>
      </c>
      <c r="S127" s="548">
        <f t="shared" si="13"/>
        <v>0</v>
      </c>
      <c r="T127" s="548">
        <f t="shared" si="13"/>
        <v>0</v>
      </c>
      <c r="U127" s="548">
        <f t="shared" si="13"/>
        <v>0</v>
      </c>
      <c r="V127" s="548">
        <f t="shared" si="13"/>
        <v>0</v>
      </c>
      <c r="W127" s="548">
        <f t="shared" si="13"/>
        <v>0</v>
      </c>
      <c r="X127" s="548">
        <f t="shared" si="13"/>
        <v>1900000.0000000002</v>
      </c>
      <c r="Y127" s="548">
        <f t="shared" si="13"/>
        <v>0</v>
      </c>
      <c r="Z127" s="548">
        <f t="shared" si="13"/>
        <v>0</v>
      </c>
      <c r="AA127" s="548">
        <f t="shared" si="13"/>
        <v>0</v>
      </c>
      <c r="AB127" s="548">
        <f t="shared" si="13"/>
        <v>0</v>
      </c>
      <c r="AC127" s="548">
        <f t="shared" si="13"/>
        <v>0</v>
      </c>
      <c r="AD127" s="548">
        <f t="shared" si="13"/>
        <v>0</v>
      </c>
      <c r="AE127" s="548">
        <f>IF(AE116="","",AE126)</f>
        <v>1756521.7391304348</v>
      </c>
      <c r="AF127" s="548">
        <f t="shared" si="13"/>
        <v>0</v>
      </c>
      <c r="AG127" s="548">
        <f t="shared" si="13"/>
        <v>0</v>
      </c>
      <c r="AH127" s="548">
        <f>IF(AH116="","",AH126)</f>
        <v>1826086.9565217393</v>
      </c>
      <c r="AI127" s="548">
        <f t="shared" si="13"/>
        <v>0</v>
      </c>
      <c r="AJ127" s="548">
        <f t="shared" si="13"/>
        <v>0</v>
      </c>
      <c r="AK127" s="548">
        <f t="shared" si="13"/>
        <v>0</v>
      </c>
      <c r="AL127" s="548">
        <f t="shared" si="13"/>
        <v>0</v>
      </c>
      <c r="AM127" s="548">
        <f t="shared" si="13"/>
        <v>0</v>
      </c>
      <c r="AN127" s="548">
        <f t="shared" si="13"/>
        <v>0</v>
      </c>
      <c r="AO127" s="548">
        <f t="shared" si="13"/>
        <v>0</v>
      </c>
      <c r="AP127" s="548">
        <f t="shared" si="13"/>
        <v>0</v>
      </c>
      <c r="AQ127" s="548" t="str">
        <f t="shared" si="13"/>
        <v/>
      </c>
      <c r="AR127" s="548" t="str">
        <f t="shared" si="13"/>
        <v/>
      </c>
      <c r="AS127" s="548" t="str">
        <f t="shared" si="13"/>
        <v/>
      </c>
      <c r="AT127" s="548" t="str">
        <f t="shared" si="13"/>
        <v/>
      </c>
      <c r="AU127" s="548" t="str">
        <f t="shared" si="13"/>
        <v/>
      </c>
      <c r="AV127" s="548" t="str">
        <f t="shared" si="13"/>
        <v/>
      </c>
      <c r="AW127" s="548" t="str">
        <f t="shared" si="13"/>
        <v/>
      </c>
      <c r="AX127" s="548" t="str">
        <f t="shared" si="13"/>
        <v/>
      </c>
      <c r="AY127" s="548" t="str">
        <f t="shared" si="13"/>
        <v/>
      </c>
      <c r="AZ127" s="548" t="str">
        <f t="shared" si="13"/>
        <v/>
      </c>
      <c r="BA127" s="548" t="str">
        <f t="shared" si="13"/>
        <v/>
      </c>
      <c r="BB127" s="548" t="str">
        <f t="shared" si="13"/>
        <v/>
      </c>
      <c r="BC127" s="548" t="str">
        <f t="shared" si="13"/>
        <v/>
      </c>
      <c r="BD127" s="548" t="str">
        <f t="shared" si="13"/>
        <v/>
      </c>
      <c r="BE127" s="548" t="str">
        <f t="shared" si="13"/>
        <v/>
      </c>
      <c r="BF127" s="548" t="str">
        <f t="shared" si="13"/>
        <v/>
      </c>
      <c r="BG127" s="548" t="str">
        <f t="shared" si="13"/>
        <v/>
      </c>
      <c r="BH127" s="548" t="str">
        <f t="shared" si="13"/>
        <v/>
      </c>
      <c r="BI127" s="548" t="str">
        <f t="shared" si="13"/>
        <v/>
      </c>
      <c r="BJ127" s="548" t="str">
        <f t="shared" si="13"/>
        <v/>
      </c>
      <c r="BK127" s="548" t="str">
        <f t="shared" si="13"/>
        <v/>
      </c>
      <c r="BL127" s="548" t="str">
        <f t="shared" si="13"/>
        <v/>
      </c>
      <c r="BM127" s="56" t="str">
        <f t="shared" si="13"/>
        <v/>
      </c>
    </row>
    <row r="128" spans="2:65" s="1" customFormat="1" x14ac:dyDescent="0.25">
      <c r="B128" s="550" t="s">
        <v>114</v>
      </c>
      <c r="C128" s="551"/>
      <c r="D128" s="552"/>
      <c r="E128" s="403"/>
      <c r="F128" s="553"/>
      <c r="G128" s="553"/>
      <c r="H128" s="553"/>
      <c r="I128" s="553"/>
      <c r="J128" s="553"/>
      <c r="K128" s="553"/>
      <c r="L128" s="553"/>
      <c r="M128" s="553"/>
      <c r="N128" s="553"/>
      <c r="O128" s="553"/>
      <c r="P128" s="553"/>
      <c r="Q128" s="553"/>
      <c r="R128" s="553"/>
      <c r="S128" s="553"/>
      <c r="T128" s="553"/>
      <c r="U128" s="553"/>
      <c r="V128" s="553"/>
      <c r="W128" s="553"/>
      <c r="X128" s="553"/>
      <c r="Y128" s="553"/>
      <c r="Z128" s="553"/>
      <c r="AA128" s="553"/>
      <c r="AB128" s="553"/>
      <c r="AC128" s="553"/>
      <c r="AD128" s="553"/>
      <c r="AE128" s="553"/>
      <c r="AF128" s="553"/>
      <c r="AG128" s="553"/>
      <c r="AH128" s="553"/>
      <c r="AI128" s="553"/>
      <c r="AJ128" s="553"/>
      <c r="AK128" s="553"/>
      <c r="AL128" s="553"/>
      <c r="AM128" s="553"/>
      <c r="AN128" s="553"/>
      <c r="AO128" s="553"/>
      <c r="AP128" s="553"/>
      <c r="AQ128" s="553"/>
      <c r="AR128" s="553"/>
      <c r="AS128" s="553"/>
      <c r="AT128" s="553"/>
      <c r="AU128" s="553"/>
      <c r="AV128" s="553"/>
      <c r="AW128" s="553"/>
      <c r="AX128" s="553"/>
      <c r="AY128" s="553"/>
      <c r="AZ128" s="553"/>
      <c r="BA128" s="553"/>
      <c r="BB128" s="553"/>
      <c r="BC128" s="553"/>
      <c r="BD128" s="553"/>
      <c r="BE128" s="553"/>
      <c r="BF128" s="553"/>
      <c r="BG128" s="553"/>
      <c r="BH128" s="553"/>
      <c r="BI128" s="553"/>
      <c r="BJ128" s="553"/>
      <c r="BK128" s="553"/>
      <c r="BL128" s="553"/>
      <c r="BM128" s="554"/>
    </row>
    <row r="129" spans="2:65" s="1" customFormat="1" x14ac:dyDescent="0.25">
      <c r="B129" s="547" t="s">
        <v>393</v>
      </c>
      <c r="C129" s="43"/>
      <c r="D129" s="20">
        <f>('Detailed Feasibility Inputs'!$J$41*'Detailed Feasibility Inputs'!$C$41+'Detailed Feasibility Inputs'!$J$42*'Detailed Feasibility Inputs'!$C$42+'Detailed Feasibility Inputs'!$J$43*'Detailed Feasibility Inputs'!$C$43+'Detailed Feasibility Inputs'!$J$44*'Detailed Feasibility Inputs'!$C$44+'Detailed Feasibility Inputs'!$J$45*'Detailed Feasibility Inputs'!$C$45+'Detailed Feasibility Inputs'!$J$46*'Detailed Feasibility Inputs'!$C$46)</f>
        <v>4340000</v>
      </c>
      <c r="E129" s="187"/>
      <c r="F129" s="548">
        <f>IF(F116="","",SUMIFS($Q$65:$Q$85,$I$65:$I$85,F116))</f>
        <v>0</v>
      </c>
      <c r="G129" s="548">
        <f t="shared" ref="G129:AL129" si="14">IF(G116="","",SUMIFS($Q$65:$Q$85,$I$65:$I$85,G116)+F129)</f>
        <v>0</v>
      </c>
      <c r="H129" s="548">
        <f t="shared" si="14"/>
        <v>0</v>
      </c>
      <c r="I129" s="548">
        <f t="shared" si="14"/>
        <v>0</v>
      </c>
      <c r="J129" s="548">
        <f t="shared" si="14"/>
        <v>0</v>
      </c>
      <c r="K129" s="548">
        <f t="shared" si="14"/>
        <v>0</v>
      </c>
      <c r="L129" s="548">
        <f t="shared" si="14"/>
        <v>0</v>
      </c>
      <c r="M129" s="548">
        <f t="shared" si="14"/>
        <v>0</v>
      </c>
      <c r="N129" s="548">
        <f t="shared" si="14"/>
        <v>0</v>
      </c>
      <c r="O129" s="548">
        <f t="shared" si="14"/>
        <v>0</v>
      </c>
      <c r="P129" s="548">
        <f t="shared" si="14"/>
        <v>0</v>
      </c>
      <c r="Q129" s="548">
        <f t="shared" si="14"/>
        <v>0</v>
      </c>
      <c r="R129" s="548">
        <f t="shared" si="14"/>
        <v>0</v>
      </c>
      <c r="S129" s="548">
        <f t="shared" si="14"/>
        <v>0</v>
      </c>
      <c r="T129" s="548">
        <f t="shared" si="14"/>
        <v>0</v>
      </c>
      <c r="U129" s="548">
        <f t="shared" si="14"/>
        <v>0</v>
      </c>
      <c r="V129" s="548">
        <f t="shared" si="14"/>
        <v>0</v>
      </c>
      <c r="W129" s="548">
        <f t="shared" si="14"/>
        <v>0</v>
      </c>
      <c r="X129" s="548">
        <f t="shared" si="14"/>
        <v>1580000</v>
      </c>
      <c r="Y129" s="548">
        <f t="shared" si="14"/>
        <v>1580000</v>
      </c>
      <c r="Z129" s="548">
        <f t="shared" si="14"/>
        <v>1580000</v>
      </c>
      <c r="AA129" s="548">
        <f t="shared" si="14"/>
        <v>1580000</v>
      </c>
      <c r="AB129" s="548">
        <f t="shared" si="14"/>
        <v>1580000</v>
      </c>
      <c r="AC129" s="548">
        <f t="shared" si="14"/>
        <v>1580000</v>
      </c>
      <c r="AD129" s="548">
        <f t="shared" si="14"/>
        <v>1580000</v>
      </c>
      <c r="AE129" s="548">
        <f t="shared" si="14"/>
        <v>2940000</v>
      </c>
      <c r="AF129" s="548">
        <f t="shared" si="14"/>
        <v>2940000</v>
      </c>
      <c r="AG129" s="548">
        <f t="shared" si="14"/>
        <v>2940000</v>
      </c>
      <c r="AH129" s="548">
        <f t="shared" si="14"/>
        <v>4340000</v>
      </c>
      <c r="AI129" s="548">
        <f t="shared" si="14"/>
        <v>4340000</v>
      </c>
      <c r="AJ129" s="548">
        <f t="shared" si="14"/>
        <v>4340000</v>
      </c>
      <c r="AK129" s="548">
        <f t="shared" si="14"/>
        <v>4340000</v>
      </c>
      <c r="AL129" s="548">
        <f t="shared" si="14"/>
        <v>4340000</v>
      </c>
      <c r="AM129" s="548">
        <f t="shared" ref="AM129:BM129" si="15">IF(AM116="","",SUMIFS($Q$65:$Q$85,$I$65:$I$85,AM116)+AL129)</f>
        <v>4340000</v>
      </c>
      <c r="AN129" s="548">
        <f t="shared" si="15"/>
        <v>4340000</v>
      </c>
      <c r="AO129" s="548">
        <f t="shared" si="15"/>
        <v>4340000</v>
      </c>
      <c r="AP129" s="548">
        <f t="shared" si="15"/>
        <v>4340000</v>
      </c>
      <c r="AQ129" s="548" t="str">
        <f t="shared" si="15"/>
        <v/>
      </c>
      <c r="AR129" s="548" t="str">
        <f t="shared" si="15"/>
        <v/>
      </c>
      <c r="AS129" s="548" t="str">
        <f t="shared" si="15"/>
        <v/>
      </c>
      <c r="AT129" s="548" t="str">
        <f t="shared" si="15"/>
        <v/>
      </c>
      <c r="AU129" s="548" t="str">
        <f t="shared" si="15"/>
        <v/>
      </c>
      <c r="AV129" s="548" t="str">
        <f t="shared" si="15"/>
        <v/>
      </c>
      <c r="AW129" s="548" t="str">
        <f t="shared" si="15"/>
        <v/>
      </c>
      <c r="AX129" s="548" t="str">
        <f t="shared" si="15"/>
        <v/>
      </c>
      <c r="AY129" s="548" t="str">
        <f t="shared" si="15"/>
        <v/>
      </c>
      <c r="AZ129" s="548" t="str">
        <f t="shared" si="15"/>
        <v/>
      </c>
      <c r="BA129" s="548" t="str">
        <f t="shared" si="15"/>
        <v/>
      </c>
      <c r="BB129" s="548" t="str">
        <f t="shared" si="15"/>
        <v/>
      </c>
      <c r="BC129" s="548" t="str">
        <f t="shared" si="15"/>
        <v/>
      </c>
      <c r="BD129" s="548" t="str">
        <f t="shared" si="15"/>
        <v/>
      </c>
      <c r="BE129" s="548" t="str">
        <f t="shared" si="15"/>
        <v/>
      </c>
      <c r="BF129" s="548" t="str">
        <f t="shared" si="15"/>
        <v/>
      </c>
      <c r="BG129" s="548" t="str">
        <f t="shared" si="15"/>
        <v/>
      </c>
      <c r="BH129" s="548" t="str">
        <f t="shared" si="15"/>
        <v/>
      </c>
      <c r="BI129" s="548" t="str">
        <f t="shared" si="15"/>
        <v/>
      </c>
      <c r="BJ129" s="548" t="str">
        <f t="shared" si="15"/>
        <v/>
      </c>
      <c r="BK129" s="548" t="str">
        <f t="shared" si="15"/>
        <v/>
      </c>
      <c r="BL129" s="548" t="str">
        <f t="shared" si="15"/>
        <v/>
      </c>
      <c r="BM129" s="56" t="str">
        <f t="shared" si="15"/>
        <v/>
      </c>
    </row>
    <row r="130" spans="2:65" s="1" customFormat="1" x14ac:dyDescent="0.25">
      <c r="B130" s="547" t="s">
        <v>115</v>
      </c>
      <c r="C130" s="43"/>
      <c r="D130" s="20"/>
      <c r="E130" s="187"/>
      <c r="F130" s="555">
        <f>IF(F116="","",(F129*'Detailed Feasibility Inputs'!$L$41)/12)</f>
        <v>0</v>
      </c>
      <c r="G130" s="555">
        <f>IF(G116="","",(G129*'Detailed Feasibility Inputs'!$L$41)/12)</f>
        <v>0</v>
      </c>
      <c r="H130" s="555">
        <f>IF(H116="","",(H129*'Detailed Feasibility Inputs'!$L$41)/12)</f>
        <v>0</v>
      </c>
      <c r="I130" s="555">
        <f>IF(I116="","",(I129*'Detailed Feasibility Inputs'!$L$41)/12)</f>
        <v>0</v>
      </c>
      <c r="J130" s="555">
        <f>IF(J116="","",(J129*'Detailed Feasibility Inputs'!$L$41)/12)</f>
        <v>0</v>
      </c>
      <c r="K130" s="555">
        <f>IF(K116="","",(K129*'Detailed Feasibility Inputs'!$L$41)/12)</f>
        <v>0</v>
      </c>
      <c r="L130" s="555">
        <f>IF(L116="","",(L129*'Detailed Feasibility Inputs'!$L$41)/12)</f>
        <v>0</v>
      </c>
      <c r="M130" s="555">
        <f>IF(M116="","",(M129*'Detailed Feasibility Inputs'!$L$41)/12)</f>
        <v>0</v>
      </c>
      <c r="N130" s="555">
        <f>IF(N116="","",(N129*'Detailed Feasibility Inputs'!$L$41)/12)</f>
        <v>0</v>
      </c>
      <c r="O130" s="555">
        <f>IF(O116="","",(O129*'Detailed Feasibility Inputs'!$L$41)/12)</f>
        <v>0</v>
      </c>
      <c r="P130" s="555">
        <f>IF(P116="","",(P129*'Detailed Feasibility Inputs'!$L$41)/12)</f>
        <v>0</v>
      </c>
      <c r="Q130" s="555">
        <f>IF(Q116="","",(Q129*'Detailed Feasibility Inputs'!$L$41)/12)</f>
        <v>0</v>
      </c>
      <c r="R130" s="555">
        <f>IF(R116="","",(R129*'Detailed Feasibility Inputs'!$L$41)/12)</f>
        <v>0</v>
      </c>
      <c r="S130" s="555">
        <f>IF(S116="","",(S129*'Detailed Feasibility Inputs'!$L$41)/12)</f>
        <v>0</v>
      </c>
      <c r="T130" s="555">
        <f>IF(T116="","",(T129*'Detailed Feasibility Inputs'!$L$41)/12)</f>
        <v>0</v>
      </c>
      <c r="U130" s="555">
        <f>IF(U116="","",(U129*'Detailed Feasibility Inputs'!$L$41)/12)</f>
        <v>0</v>
      </c>
      <c r="V130" s="555">
        <f>IF(V116="","",(V129*'Detailed Feasibility Inputs'!$L$41)/12)</f>
        <v>0</v>
      </c>
      <c r="W130" s="555">
        <f>IF(W116="","",(W129*'Detailed Feasibility Inputs'!$L$41)/12)</f>
        <v>0</v>
      </c>
      <c r="X130" s="555">
        <f>IF(X116="","",(X129*'Detailed Feasibility Inputs'!$L$41)/12)</f>
        <v>1975</v>
      </c>
      <c r="Y130" s="555">
        <f>IF(Y116="","",(Y129*'Detailed Feasibility Inputs'!$L$41)/12)</f>
        <v>1975</v>
      </c>
      <c r="Z130" s="555">
        <f>IF(Z116="","",(Z129*'Detailed Feasibility Inputs'!$L$41)/12)</f>
        <v>1975</v>
      </c>
      <c r="AA130" s="555">
        <f>IF(AA116="","",(AA129*'Detailed Feasibility Inputs'!$L$41)/12)</f>
        <v>1975</v>
      </c>
      <c r="AB130" s="555">
        <f>IF(AB116="","",(AB129*'Detailed Feasibility Inputs'!$L$41)/12)</f>
        <v>1975</v>
      </c>
      <c r="AC130" s="555">
        <f>IF(AC116="","",(AC129*'Detailed Feasibility Inputs'!$L$41)/12)</f>
        <v>1975</v>
      </c>
      <c r="AD130" s="555">
        <f>IF(AD116="","",(AD129*'Detailed Feasibility Inputs'!$L$41)/12)</f>
        <v>1975</v>
      </c>
      <c r="AE130" s="555">
        <f>IF(AE116="","",(AE129*'Detailed Feasibility Inputs'!$L$41)/12)</f>
        <v>3675</v>
      </c>
      <c r="AF130" s="555">
        <f>IF(AF116="","",(AF129*'Detailed Feasibility Inputs'!$L$41)/12)</f>
        <v>3675</v>
      </c>
      <c r="AG130" s="555">
        <f>IF(AG116="","",(AG129*'Detailed Feasibility Inputs'!$L$41)/12)</f>
        <v>3675</v>
      </c>
      <c r="AH130" s="555">
        <f>IF(AH116="","",(AH129*'Detailed Feasibility Inputs'!$L$41)/12)</f>
        <v>5425</v>
      </c>
      <c r="AI130" s="555">
        <f>IF(AI116="","",(AI129*'Detailed Feasibility Inputs'!$L$41)/12)</f>
        <v>5425</v>
      </c>
      <c r="AJ130" s="555">
        <f>IF(AJ116="","",(AJ129*'Detailed Feasibility Inputs'!$L$41)/12)</f>
        <v>5425</v>
      </c>
      <c r="AK130" s="555">
        <f>IF(AK116="","",(AK129*'Detailed Feasibility Inputs'!$L$41)/12)</f>
        <v>5425</v>
      </c>
      <c r="AL130" s="555">
        <f>IF(AL116="","",(AL129*'Detailed Feasibility Inputs'!$L$41)/12)</f>
        <v>5425</v>
      </c>
      <c r="AM130" s="555">
        <f>IF(AM116="","",(AM129*'Detailed Feasibility Inputs'!$L$41)/12)</f>
        <v>5425</v>
      </c>
      <c r="AN130" s="555">
        <f>IF(AN116="","",(AN129*'Detailed Feasibility Inputs'!$L$41)/12)</f>
        <v>5425</v>
      </c>
      <c r="AO130" s="555">
        <f>IF(AO116="","",(AO129*'Detailed Feasibility Inputs'!$L$41)/12)</f>
        <v>5425</v>
      </c>
      <c r="AP130" s="555">
        <f>IF(AP116="","",(AP129*'Detailed Feasibility Inputs'!$L$41)/12)</f>
        <v>5425</v>
      </c>
      <c r="AQ130" s="555" t="str">
        <f>IF(AQ116="","",(AQ129*'Detailed Feasibility Inputs'!$L$41)/12)</f>
        <v/>
      </c>
      <c r="AR130" s="555" t="str">
        <f>IF(AR116="","",(AR129*'Detailed Feasibility Inputs'!$L$41)/12)</f>
        <v/>
      </c>
      <c r="AS130" s="555" t="str">
        <f>IF(AS116="","",(AS129*'Detailed Feasibility Inputs'!$L$41)/12)</f>
        <v/>
      </c>
      <c r="AT130" s="555" t="str">
        <f>IF(AT116="","",(AT129*'Detailed Feasibility Inputs'!$L$41)/12)</f>
        <v/>
      </c>
      <c r="AU130" s="555" t="str">
        <f>IF(AU116="","",(AU129*'Detailed Feasibility Inputs'!$L$41)/12)</f>
        <v/>
      </c>
      <c r="AV130" s="555" t="str">
        <f>IF(AV116="","",(AV129*'Detailed Feasibility Inputs'!$L$41)/12)</f>
        <v/>
      </c>
      <c r="AW130" s="555" t="str">
        <f>IF(AW116="","",(AW129*'Detailed Feasibility Inputs'!$L$41)/12)</f>
        <v/>
      </c>
      <c r="AX130" s="555" t="str">
        <f>IF(AX116="","",(AX129*'Detailed Feasibility Inputs'!$L$41)/12)</f>
        <v/>
      </c>
      <c r="AY130" s="555" t="str">
        <f>IF(AY116="","",(AY129*'Detailed Feasibility Inputs'!$L$41)/12)</f>
        <v/>
      </c>
      <c r="AZ130" s="555" t="str">
        <f>IF(AZ116="","",(AZ129*'Detailed Feasibility Inputs'!$L$41)/12)</f>
        <v/>
      </c>
      <c r="BA130" s="555" t="str">
        <f>IF(BA116="","",(BA129*'Detailed Feasibility Inputs'!$L$41)/12)</f>
        <v/>
      </c>
      <c r="BB130" s="555" t="str">
        <f>IF(BB116="","",(BB129*'Detailed Feasibility Inputs'!$L$41)/12)</f>
        <v/>
      </c>
      <c r="BC130" s="555" t="str">
        <f>IF(BC116="","",(BC129*'Detailed Feasibility Inputs'!$L$41)/12)</f>
        <v/>
      </c>
      <c r="BD130" s="555" t="str">
        <f>IF(BD116="","",(BD129*'Detailed Feasibility Inputs'!$L$41)/12)</f>
        <v/>
      </c>
      <c r="BE130" s="555" t="str">
        <f>IF(BE116="","",(BE129*'Detailed Feasibility Inputs'!$L$41)/12)</f>
        <v/>
      </c>
      <c r="BF130" s="555" t="str">
        <f>IF(BF116="","",(BF129*'Detailed Feasibility Inputs'!$L$41)/12)</f>
        <v/>
      </c>
      <c r="BG130" s="555" t="str">
        <f>IF(BG116="","",(BG129*'Detailed Feasibility Inputs'!$L$41)/12)</f>
        <v/>
      </c>
      <c r="BH130" s="555" t="str">
        <f>IF(BH116="","",(BH129*'Detailed Feasibility Inputs'!$L$41)/12)</f>
        <v/>
      </c>
      <c r="BI130" s="555" t="str">
        <f>IF(BI116="","",(BI129*'Detailed Feasibility Inputs'!$L$41)/12)</f>
        <v/>
      </c>
      <c r="BJ130" s="555" t="str">
        <f>IF(BJ116="","",(BJ129*'Detailed Feasibility Inputs'!$L$41)/12)</f>
        <v/>
      </c>
      <c r="BK130" s="555" t="str">
        <f>IF(BK116="","",(BK129*'Detailed Feasibility Inputs'!$L$41)/12)</f>
        <v/>
      </c>
      <c r="BL130" s="555" t="str">
        <f>IF(BL116="","",(BL129*'Detailed Feasibility Inputs'!$L$41)/12)</f>
        <v/>
      </c>
      <c r="BM130" s="556" t="str">
        <f>IF(BM116="","",(BM129*'Detailed Feasibility Inputs'!$L$41)/12)</f>
        <v/>
      </c>
    </row>
    <row r="131" spans="2:65" s="1" customFormat="1" x14ac:dyDescent="0.25">
      <c r="B131" s="42" t="s">
        <v>348</v>
      </c>
      <c r="C131" s="43"/>
      <c r="D131" s="20"/>
      <c r="E131" s="187"/>
      <c r="F131" s="555">
        <f>IF(F116="","",F127+F130)</f>
        <v>0</v>
      </c>
      <c r="G131" s="555">
        <f>IF(G116="","",G127+G130)</f>
        <v>0</v>
      </c>
      <c r="H131" s="555">
        <f>IF(H116="","",H127+H130)</f>
        <v>0</v>
      </c>
      <c r="I131" s="555">
        <f t="shared" ref="I131:BM131" si="16">IF(I116="","",I127+I130)</f>
        <v>0</v>
      </c>
      <c r="J131" s="555">
        <f t="shared" si="16"/>
        <v>0</v>
      </c>
      <c r="K131" s="555">
        <f t="shared" si="16"/>
        <v>0</v>
      </c>
      <c r="L131" s="555">
        <f t="shared" si="16"/>
        <v>0</v>
      </c>
      <c r="M131" s="555">
        <f>IF(M116="","",M127+M130)</f>
        <v>0</v>
      </c>
      <c r="N131" s="555">
        <f t="shared" si="16"/>
        <v>0</v>
      </c>
      <c r="O131" s="555">
        <f t="shared" si="16"/>
        <v>0</v>
      </c>
      <c r="P131" s="555">
        <f t="shared" si="16"/>
        <v>0</v>
      </c>
      <c r="Q131" s="555">
        <f t="shared" si="16"/>
        <v>0</v>
      </c>
      <c r="R131" s="555">
        <f t="shared" si="16"/>
        <v>0</v>
      </c>
      <c r="S131" s="555">
        <f t="shared" si="16"/>
        <v>0</v>
      </c>
      <c r="T131" s="555">
        <f t="shared" si="16"/>
        <v>0</v>
      </c>
      <c r="U131" s="555">
        <f t="shared" si="16"/>
        <v>0</v>
      </c>
      <c r="V131" s="555">
        <f t="shared" si="16"/>
        <v>0</v>
      </c>
      <c r="W131" s="555">
        <f t="shared" si="16"/>
        <v>0</v>
      </c>
      <c r="X131" s="555">
        <f t="shared" si="16"/>
        <v>1901975.0000000002</v>
      </c>
      <c r="Y131" s="555">
        <f t="shared" si="16"/>
        <v>1975</v>
      </c>
      <c r="Z131" s="555">
        <f t="shared" si="16"/>
        <v>1975</v>
      </c>
      <c r="AA131" s="555">
        <f t="shared" si="16"/>
        <v>1975</v>
      </c>
      <c r="AB131" s="555">
        <f t="shared" si="16"/>
        <v>1975</v>
      </c>
      <c r="AC131" s="555">
        <f t="shared" si="16"/>
        <v>1975</v>
      </c>
      <c r="AD131" s="555">
        <f t="shared" si="16"/>
        <v>1975</v>
      </c>
      <c r="AE131" s="555">
        <f t="shared" si="16"/>
        <v>1760196.7391304348</v>
      </c>
      <c r="AF131" s="555">
        <f t="shared" si="16"/>
        <v>3675</v>
      </c>
      <c r="AG131" s="555">
        <f t="shared" si="16"/>
        <v>3675</v>
      </c>
      <c r="AH131" s="555">
        <f t="shared" si="16"/>
        <v>1831511.9565217393</v>
      </c>
      <c r="AI131" s="555">
        <f t="shared" si="16"/>
        <v>5425</v>
      </c>
      <c r="AJ131" s="555">
        <f t="shared" si="16"/>
        <v>5425</v>
      </c>
      <c r="AK131" s="555">
        <f t="shared" si="16"/>
        <v>5425</v>
      </c>
      <c r="AL131" s="555">
        <f t="shared" si="16"/>
        <v>5425</v>
      </c>
      <c r="AM131" s="555">
        <f t="shared" si="16"/>
        <v>5425</v>
      </c>
      <c r="AN131" s="555">
        <f t="shared" si="16"/>
        <v>5425</v>
      </c>
      <c r="AO131" s="555">
        <f t="shared" si="16"/>
        <v>5425</v>
      </c>
      <c r="AP131" s="555">
        <f t="shared" si="16"/>
        <v>5425</v>
      </c>
      <c r="AQ131" s="555" t="str">
        <f t="shared" si="16"/>
        <v/>
      </c>
      <c r="AR131" s="555" t="str">
        <f t="shared" si="16"/>
        <v/>
      </c>
      <c r="AS131" s="555" t="str">
        <f t="shared" si="16"/>
        <v/>
      </c>
      <c r="AT131" s="555" t="str">
        <f t="shared" si="16"/>
        <v/>
      </c>
      <c r="AU131" s="555" t="str">
        <f t="shared" si="16"/>
        <v/>
      </c>
      <c r="AV131" s="555" t="str">
        <f t="shared" si="16"/>
        <v/>
      </c>
      <c r="AW131" s="555" t="str">
        <f t="shared" si="16"/>
        <v/>
      </c>
      <c r="AX131" s="555" t="str">
        <f t="shared" si="16"/>
        <v/>
      </c>
      <c r="AY131" s="555" t="str">
        <f t="shared" si="16"/>
        <v/>
      </c>
      <c r="AZ131" s="555" t="str">
        <f t="shared" si="16"/>
        <v/>
      </c>
      <c r="BA131" s="555" t="str">
        <f t="shared" si="16"/>
        <v/>
      </c>
      <c r="BB131" s="555" t="str">
        <f t="shared" si="16"/>
        <v/>
      </c>
      <c r="BC131" s="555" t="str">
        <f t="shared" si="16"/>
        <v/>
      </c>
      <c r="BD131" s="555" t="str">
        <f t="shared" si="16"/>
        <v/>
      </c>
      <c r="BE131" s="555" t="str">
        <f t="shared" si="16"/>
        <v/>
      </c>
      <c r="BF131" s="555" t="str">
        <f t="shared" si="16"/>
        <v/>
      </c>
      <c r="BG131" s="555" t="str">
        <f t="shared" si="16"/>
        <v/>
      </c>
      <c r="BH131" s="555" t="str">
        <f t="shared" si="16"/>
        <v/>
      </c>
      <c r="BI131" s="555" t="str">
        <f t="shared" si="16"/>
        <v/>
      </c>
      <c r="BJ131" s="555" t="str">
        <f t="shared" si="16"/>
        <v/>
      </c>
      <c r="BK131" s="555" t="str">
        <f t="shared" si="16"/>
        <v/>
      </c>
      <c r="BL131" s="555" t="str">
        <f t="shared" si="16"/>
        <v/>
      </c>
      <c r="BM131" s="556" t="str">
        <f t="shared" si="16"/>
        <v/>
      </c>
    </row>
    <row r="132" spans="2:65" s="1" customFormat="1" x14ac:dyDescent="0.25">
      <c r="B132" s="543" t="s">
        <v>134</v>
      </c>
      <c r="C132" s="544"/>
      <c r="D132" s="545"/>
      <c r="E132" s="545"/>
      <c r="F132" s="545"/>
      <c r="G132" s="545"/>
      <c r="H132" s="545"/>
      <c r="I132" s="545"/>
      <c r="J132" s="545"/>
      <c r="K132" s="545"/>
      <c r="L132" s="545"/>
      <c r="M132" s="545"/>
      <c r="N132" s="545"/>
      <c r="O132" s="545"/>
      <c r="P132" s="545"/>
      <c r="Q132" s="545"/>
      <c r="R132" s="545"/>
      <c r="S132" s="545"/>
      <c r="T132" s="545"/>
      <c r="U132" s="545"/>
      <c r="V132" s="545"/>
      <c r="W132" s="545"/>
      <c r="X132" s="545"/>
      <c r="Y132" s="545"/>
      <c r="Z132" s="545"/>
      <c r="AA132" s="545"/>
      <c r="AB132" s="545"/>
      <c r="AC132" s="545"/>
      <c r="AD132" s="545"/>
      <c r="AE132" s="545"/>
      <c r="AF132" s="545"/>
      <c r="AG132" s="545"/>
      <c r="AH132" s="545"/>
      <c r="AI132" s="545"/>
      <c r="AJ132" s="545"/>
      <c r="AK132" s="545"/>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166"/>
    </row>
    <row r="133" spans="2:65" s="1" customFormat="1" x14ac:dyDescent="0.25">
      <c r="B133" s="42" t="s">
        <v>314</v>
      </c>
      <c r="C133" s="1" t="str">
        <f>G91</f>
        <v xml:space="preserve">Acquisition Contract </v>
      </c>
      <c r="D133" s="20">
        <f>G100</f>
        <v>0</v>
      </c>
      <c r="E133" s="187">
        <f>IF(SUM(F133:BM133)=D133,1,0)</f>
        <v>1</v>
      </c>
      <c r="F133" s="548">
        <f>IF(F116='Detailed Feasibility'!$C$55,'Detailed Feasibility'!$G$100,0)</f>
        <v>0</v>
      </c>
      <c r="G133" s="548">
        <f>IF(G116="","",IF(G116='Detailed Feasibility'!$C$55,'Detailed Feasibility'!$G$100,0))</f>
        <v>0</v>
      </c>
      <c r="H133" s="548">
        <f>IF(H116="","",IF(H116='Detailed Feasibility'!$C$55,'Detailed Feasibility'!$G$100,0))</f>
        <v>0</v>
      </c>
      <c r="I133" s="548">
        <f>IF(I116="","",IF(I116='Detailed Feasibility'!$C$55,'Detailed Feasibility'!$G$100,0))</f>
        <v>0</v>
      </c>
      <c r="J133" s="548">
        <f>IF(J116="","",IF(J116='Detailed Feasibility'!$C$55,'Detailed Feasibility'!$G$100,0))</f>
        <v>0</v>
      </c>
      <c r="K133" s="548">
        <f>IF(K116="","",IF(K116='Detailed Feasibility'!$C$55,'Detailed Feasibility'!$G$100,0))</f>
        <v>0</v>
      </c>
      <c r="L133" s="548">
        <f>IF(L116="","",IF(L116='Detailed Feasibility'!$C$55,'Detailed Feasibility'!$G$100,0))</f>
        <v>0</v>
      </c>
      <c r="M133" s="548">
        <f>IF(M116="","",IF(M116='Detailed Feasibility'!$C$55,'Detailed Feasibility'!$G$100,0))</f>
        <v>0</v>
      </c>
      <c r="N133" s="548">
        <f>IF(N116="","",IF(N116='Detailed Feasibility'!$C$55,'Detailed Feasibility'!$G$100,0))</f>
        <v>0</v>
      </c>
      <c r="O133" s="548">
        <f>IF(O116="","",IF(O116='Detailed Feasibility'!$C$55,'Detailed Feasibility'!$G$100,0))</f>
        <v>0</v>
      </c>
      <c r="P133" s="548">
        <f>IF(P116="","",IF(P116='Detailed Feasibility'!$C$55,'Detailed Feasibility'!$G$100,0))</f>
        <v>0</v>
      </c>
      <c r="Q133" s="548">
        <f>IF(Q116="","",IF(Q116='Detailed Feasibility'!$C$55,'Detailed Feasibility'!$G$100,0))</f>
        <v>0</v>
      </c>
      <c r="R133" s="548">
        <f>IF(R116="","",IF(R116='Detailed Feasibility'!$C$55,'Detailed Feasibility'!$G$100,0))</f>
        <v>0</v>
      </c>
      <c r="S133" s="548">
        <f>IF(S116="","",IF(S116='Detailed Feasibility'!$C$55,'Detailed Feasibility'!$G$100,0))</f>
        <v>0</v>
      </c>
      <c r="T133" s="548">
        <f>IF(T116="","",IF(T116='Detailed Feasibility'!$C$55,'Detailed Feasibility'!$G$100,0))</f>
        <v>0</v>
      </c>
      <c r="U133" s="548">
        <f>IF(U116="","",IF(U116='Detailed Feasibility'!$C$55,'Detailed Feasibility'!$G$100,0))</f>
        <v>0</v>
      </c>
      <c r="V133" s="548">
        <f>IF(V116="","",IF(V116='Detailed Feasibility'!$C$55,'Detailed Feasibility'!$G$100,0))</f>
        <v>0</v>
      </c>
      <c r="W133" s="548">
        <f>IF(W116="","",IF(W116='Detailed Feasibility'!$C$55,'Detailed Feasibility'!$G$100,0))</f>
        <v>0</v>
      </c>
      <c r="X133" s="548">
        <f>IF(X116="","",IF(X116='Detailed Feasibility'!$C$55,'Detailed Feasibility'!$G$100,0))</f>
        <v>0</v>
      </c>
      <c r="Y133" s="548">
        <f>IF(Y116="","",IF(Y116='Detailed Feasibility'!$C$55,'Detailed Feasibility'!$G$100,0))</f>
        <v>0</v>
      </c>
      <c r="Z133" s="548">
        <f>IF(Z116="","",IF(Z116='Detailed Feasibility'!$C$55,'Detailed Feasibility'!$G$100,0))</f>
        <v>0</v>
      </c>
      <c r="AA133" s="548">
        <f>IF(AA116="","",IF(AA116='Detailed Feasibility'!$C$55,'Detailed Feasibility'!$G$100,0))</f>
        <v>0</v>
      </c>
      <c r="AB133" s="548">
        <f>IF(AB116="","",IF(AB116='Detailed Feasibility'!$C$55,'Detailed Feasibility'!$G$100,0))</f>
        <v>0</v>
      </c>
      <c r="AC133" s="548">
        <f>IF(AC116="","",IF(AC116='Detailed Feasibility'!$C$55,'Detailed Feasibility'!$G$100,0))</f>
        <v>0</v>
      </c>
      <c r="AD133" s="548">
        <f>IF(AD116="","",IF(AD116='Detailed Feasibility'!$C$55,'Detailed Feasibility'!$G$100,0))</f>
        <v>0</v>
      </c>
      <c r="AE133" s="548">
        <f>IF(AE116="","",IF(AE116='Detailed Feasibility'!$C$55,'Detailed Feasibility'!$G$100,0))</f>
        <v>0</v>
      </c>
      <c r="AF133" s="548">
        <f>IF(AF116="","",IF(AF116='Detailed Feasibility'!$C$55,'Detailed Feasibility'!$G$100,0))</f>
        <v>0</v>
      </c>
      <c r="AG133" s="548">
        <f>IF(AG116="","",IF(AG116='Detailed Feasibility'!$C$55,'Detailed Feasibility'!$G$100,0))</f>
        <v>0</v>
      </c>
      <c r="AH133" s="548">
        <f>IF(AH116="","",IF(AH116='Detailed Feasibility'!$C$55,'Detailed Feasibility'!$G$100,0))</f>
        <v>0</v>
      </c>
      <c r="AI133" s="548">
        <f>IF(AI116="","",IF(AI116='Detailed Feasibility'!$C$55,'Detailed Feasibility'!$G$100,0))</f>
        <v>0</v>
      </c>
      <c r="AJ133" s="548">
        <f>IF(AJ116="","",IF(AJ116='Detailed Feasibility'!$C$55,'Detailed Feasibility'!$G$100,0))</f>
        <v>0</v>
      </c>
      <c r="AK133" s="548">
        <f>IF(AK116="","",IF(AK116='Detailed Feasibility'!$C$55,'Detailed Feasibility'!$G$100,0))</f>
        <v>0</v>
      </c>
      <c r="AL133" s="548">
        <f>IF(AL116="","",IF(AL116='Detailed Feasibility'!$C$55,'Detailed Feasibility'!$G$100,0))</f>
        <v>0</v>
      </c>
      <c r="AM133" s="548">
        <f>IF(AM116="","",IF(AM116='Detailed Feasibility'!$C$55,'Detailed Feasibility'!$G$100,0))</f>
        <v>0</v>
      </c>
      <c r="AN133" s="548">
        <f>IF(AN116="","",IF(AN116='Detailed Feasibility'!$C$55,'Detailed Feasibility'!$G$100,0))</f>
        <v>0</v>
      </c>
      <c r="AO133" s="548">
        <f>IF(AO116="","",IF(AO116='Detailed Feasibility'!$C$55,'Detailed Feasibility'!$G$100,0))</f>
        <v>0</v>
      </c>
      <c r="AP133" s="548">
        <f>IF(AP116="","",IF(AP116='Detailed Feasibility'!$C$55,'Detailed Feasibility'!$G$100,0))</f>
        <v>0</v>
      </c>
      <c r="AQ133" s="548" t="str">
        <f>IF(AQ116="","",IF(AQ116='Detailed Feasibility'!$C$55,'Detailed Feasibility'!$G$100,0))</f>
        <v/>
      </c>
      <c r="AR133" s="548" t="str">
        <f>IF(AR116="","",IF(AR116='Detailed Feasibility'!$C$55,'Detailed Feasibility'!$G$100,0))</f>
        <v/>
      </c>
      <c r="AS133" s="548" t="str">
        <f>IF(AS116="","",IF(AS116='Detailed Feasibility'!$C$55,'Detailed Feasibility'!$G$100,0))</f>
        <v/>
      </c>
      <c r="AT133" s="548" t="str">
        <f>IF(AT116="","",IF(AT116='Detailed Feasibility'!$C$55,'Detailed Feasibility'!$G$100,0))</f>
        <v/>
      </c>
      <c r="AU133" s="548" t="str">
        <f>IF(AU116="","",IF(AU116='Detailed Feasibility'!$C$55,'Detailed Feasibility'!$G$100,0))</f>
        <v/>
      </c>
      <c r="AV133" s="548" t="str">
        <f>IF(AV116="","",IF(AV116='Detailed Feasibility'!$C$55,'Detailed Feasibility'!$G$100,0))</f>
        <v/>
      </c>
      <c r="AW133" s="548" t="str">
        <f>IF(AW116="","",IF(AW116='Detailed Feasibility'!$C$55,'Detailed Feasibility'!$G$100,0))</f>
        <v/>
      </c>
      <c r="AX133" s="548" t="str">
        <f>IF(AX116="","",IF(AX116='Detailed Feasibility'!$C$55,'Detailed Feasibility'!$G$100,0))</f>
        <v/>
      </c>
      <c r="AY133" s="548" t="str">
        <f>IF(AY116="","",IF(AY116='Detailed Feasibility'!$C$55,'Detailed Feasibility'!$G$100,0))</f>
        <v/>
      </c>
      <c r="AZ133" s="548" t="str">
        <f>IF(AZ116="","",IF(AZ116='Detailed Feasibility'!$C$55,'Detailed Feasibility'!$G$100,0))</f>
        <v/>
      </c>
      <c r="BA133" s="548" t="str">
        <f>IF(BA116="","",IF(BA116='Detailed Feasibility'!$C$55,'Detailed Feasibility'!$G$100,0))</f>
        <v/>
      </c>
      <c r="BB133" s="548" t="str">
        <f>IF(BB116="","",IF(BB116='Detailed Feasibility'!$C$55,'Detailed Feasibility'!$G$100,0))</f>
        <v/>
      </c>
      <c r="BC133" s="548" t="str">
        <f>IF(BC116="","",IF(BC116='Detailed Feasibility'!$C$55,'Detailed Feasibility'!$G$100,0))</f>
        <v/>
      </c>
      <c r="BD133" s="548" t="str">
        <f>IF(BD116="","",IF(BD116='Detailed Feasibility'!$C$55,'Detailed Feasibility'!$G$100,0))</f>
        <v/>
      </c>
      <c r="BE133" s="548" t="str">
        <f>IF(BE116="","",IF(BE116='Detailed Feasibility'!$C$55,'Detailed Feasibility'!$G$100,0))</f>
        <v/>
      </c>
      <c r="BF133" s="548" t="str">
        <f>IF(BF116="","",IF(BF116='Detailed Feasibility'!$C$55,'Detailed Feasibility'!$G$100,0))</f>
        <v/>
      </c>
      <c r="BG133" s="548" t="str">
        <f>IF(BG116="","",IF(BG116='Detailed Feasibility'!$C$55,'Detailed Feasibility'!$G$100,0))</f>
        <v/>
      </c>
      <c r="BH133" s="548" t="str">
        <f>IF(BH116="","",IF(BH116='Detailed Feasibility'!$C$55,'Detailed Feasibility'!$G$100,0))</f>
        <v/>
      </c>
      <c r="BI133" s="548" t="str">
        <f>IF(BI116="","",IF(BI116='Detailed Feasibility'!$C$55,'Detailed Feasibility'!$G$100,0))</f>
        <v/>
      </c>
      <c r="BJ133" s="548" t="str">
        <f>IF(BJ116="","",IF(BJ116='Detailed Feasibility'!$C$55,'Detailed Feasibility'!$G$100,0))</f>
        <v/>
      </c>
      <c r="BK133" s="548" t="str">
        <f>IF(BK116="","",IF(BK116='Detailed Feasibility'!$C$55,'Detailed Feasibility'!$G$100,0))</f>
        <v/>
      </c>
      <c r="BL133" s="548" t="str">
        <f>IF(BL116="","",IF(BL116='Detailed Feasibility'!$C$55,'Detailed Feasibility'!$G$100,0))</f>
        <v/>
      </c>
      <c r="BM133" s="56" t="str">
        <f>IF(BM116="","",IF(BM116='Detailed Feasibility'!$C$55,'Detailed Feasibility'!$G$100,0))</f>
        <v/>
      </c>
    </row>
    <row r="134" spans="2:65" s="1" customFormat="1" x14ac:dyDescent="0.25">
      <c r="B134" s="42"/>
      <c r="C134" s="1" t="s">
        <v>455</v>
      </c>
      <c r="D134" s="20">
        <f>H100</f>
        <v>1250930.25</v>
      </c>
      <c r="E134" s="187">
        <f>IF(SUM(F134:BM134)=D134,1,0)</f>
        <v>1</v>
      </c>
      <c r="F134" s="548">
        <f>IF(AND(F116&gt;='Detailed Feasibility'!$C$56,F116&lt;'Detailed Feasibility'!$D$56),($H$100/('Detailed Feasibility'!$D$56-'Detailed Feasibility'!$C$56)),0)</f>
        <v>0</v>
      </c>
      <c r="G134" s="548">
        <f>IF(G116="","",IF(AND(G116&gt;='Detailed Feasibility'!$C$56,G116&lt;'Detailed Feasibility'!$D$56),($H$100/('Detailed Feasibility'!$D$56-'Detailed Feasibility'!$C$56)),0))</f>
        <v>0</v>
      </c>
      <c r="H134" s="548">
        <f>IF(H116="","",IF(AND(H116&gt;='Detailed Feasibility'!$C$56,H116&lt;'Detailed Feasibility'!$D$56),($H$100/('Detailed Feasibility'!$D$56-'Detailed Feasibility'!$C$56)),0))</f>
        <v>0</v>
      </c>
      <c r="I134" s="548">
        <f>IF(I116="","",IF(AND(I116&gt;='Detailed Feasibility'!$C$56,I116&lt;'Detailed Feasibility'!$D$56),($H$100/('Detailed Feasibility'!$D$56-'Detailed Feasibility'!$C$56)),0))</f>
        <v>0</v>
      </c>
      <c r="J134" s="548">
        <f>IF(J116="","",IF(AND(J116&gt;='Detailed Feasibility'!$C$56,J116&lt;'Detailed Feasibility'!$D$56),($H$100/('Detailed Feasibility'!$D$56-'Detailed Feasibility'!$C$56)),0))</f>
        <v>0</v>
      </c>
      <c r="K134" s="548">
        <f>IF(K116="","",IF(AND(K116&gt;='Detailed Feasibility'!$C$56,K116&lt;'Detailed Feasibility'!$D$56),($H$100/('Detailed Feasibility'!$D$56-'Detailed Feasibility'!$C$56)),0))</f>
        <v>0</v>
      </c>
      <c r="L134" s="548">
        <f>IF(L116="","",IF(AND(L116&gt;='Detailed Feasibility'!$C$56,L116&lt;'Detailed Feasibility'!$D$56),($H$100/('Detailed Feasibility'!$D$56-'Detailed Feasibility'!$C$56)),0))</f>
        <v>0</v>
      </c>
      <c r="M134" s="548">
        <f>IF(M116="","",IF(AND(M116&gt;='Detailed Feasibility'!$C$56,M116&lt;'Detailed Feasibility'!$D$56),($H$100/('Detailed Feasibility'!$D$56-'Detailed Feasibility'!$C$56)),0))</f>
        <v>104244.1875</v>
      </c>
      <c r="N134" s="548">
        <f>IF(N116="","",IF(AND(N116&gt;='Detailed Feasibility'!$C$56,N116&lt;'Detailed Feasibility'!$D$56),($H$100/('Detailed Feasibility'!$D$56-'Detailed Feasibility'!$C$56)),0))</f>
        <v>104244.1875</v>
      </c>
      <c r="O134" s="548">
        <f>IF(O116="","",IF(AND(O116&gt;='Detailed Feasibility'!$C$56,O116&lt;'Detailed Feasibility'!$D$56),($H$100/('Detailed Feasibility'!$D$56-'Detailed Feasibility'!$C$56)),0))</f>
        <v>104244.1875</v>
      </c>
      <c r="P134" s="548">
        <f>IF(P116="","",IF(AND(P116&gt;='Detailed Feasibility'!$C$56,P116&lt;'Detailed Feasibility'!$D$56),($H$100/('Detailed Feasibility'!$D$56-'Detailed Feasibility'!$C$56)),0))</f>
        <v>104244.1875</v>
      </c>
      <c r="Q134" s="548">
        <f>IF(Q116="","",IF(AND(Q116&gt;='Detailed Feasibility'!$C$56,Q116&lt;'Detailed Feasibility'!$D$56),($H$100/('Detailed Feasibility'!$D$56-'Detailed Feasibility'!$C$56)),0))</f>
        <v>104244.1875</v>
      </c>
      <c r="R134" s="548">
        <f>IF(R116="","",IF(AND(R116&gt;='Detailed Feasibility'!$C$56,R116&lt;'Detailed Feasibility'!$D$56),($H$100/('Detailed Feasibility'!$D$56-'Detailed Feasibility'!$C$56)),0))</f>
        <v>104244.1875</v>
      </c>
      <c r="S134" s="548">
        <f>IF(S116="","",IF(AND(S116&gt;='Detailed Feasibility'!$C$56,S116&lt;'Detailed Feasibility'!$D$56),($H$100/('Detailed Feasibility'!$D$56-'Detailed Feasibility'!$C$56)),0))</f>
        <v>104244.1875</v>
      </c>
      <c r="T134" s="548">
        <f>IF(T116="","",IF(AND(T116&gt;='Detailed Feasibility'!$C$56,T116&lt;'Detailed Feasibility'!$D$56),($H$100/('Detailed Feasibility'!$D$56-'Detailed Feasibility'!$C$56)),0))</f>
        <v>104244.1875</v>
      </c>
      <c r="U134" s="548">
        <f>IF(U116="","",IF(AND(U116&gt;='Detailed Feasibility'!$C$56,U116&lt;'Detailed Feasibility'!$D$56),($H$100/('Detailed Feasibility'!$D$56-'Detailed Feasibility'!$C$56)),0))</f>
        <v>104244.1875</v>
      </c>
      <c r="V134" s="548">
        <f>IF(V116="","",IF(AND(V116&gt;='Detailed Feasibility'!$C$56,V116&lt;'Detailed Feasibility'!$D$56),($H$100/('Detailed Feasibility'!$D$56-'Detailed Feasibility'!$C$56)),0))</f>
        <v>104244.1875</v>
      </c>
      <c r="W134" s="548">
        <f>IF(W116="","",IF(AND(W116&gt;='Detailed Feasibility'!$C$56,W116&lt;'Detailed Feasibility'!$D$56),($H$100/('Detailed Feasibility'!$D$56-'Detailed Feasibility'!$C$56)),0))</f>
        <v>104244.1875</v>
      </c>
      <c r="X134" s="548">
        <f>IF(X116="","",IF(AND(X116&gt;='Detailed Feasibility'!$C$56,X116&lt;'Detailed Feasibility'!$D$56),($H$100/('Detailed Feasibility'!$D$56-'Detailed Feasibility'!$C$56)),0))</f>
        <v>104244.1875</v>
      </c>
      <c r="Y134" s="548">
        <f>IF(Y116="","",IF(AND(Y116&gt;='Detailed Feasibility'!$C$56,Y116&lt;'Detailed Feasibility'!$D$56),($H$100/('Detailed Feasibility'!$D$56-'Detailed Feasibility'!$C$56)),0))</f>
        <v>0</v>
      </c>
      <c r="Z134" s="548">
        <f>IF(Z116="","",IF(AND(Z116&gt;='Detailed Feasibility'!$C$56,Z116&lt;'Detailed Feasibility'!$D$56),($H$100/('Detailed Feasibility'!$D$56-'Detailed Feasibility'!$C$56)),0))</f>
        <v>0</v>
      </c>
      <c r="AA134" s="548">
        <f>IF(AA116="","",IF(AND(AA116&gt;='Detailed Feasibility'!$C$56,AA116&lt;'Detailed Feasibility'!$D$56),($H$100/('Detailed Feasibility'!$D$56-'Detailed Feasibility'!$C$56)),0))</f>
        <v>0</v>
      </c>
      <c r="AB134" s="548">
        <f>IF(AB116="","",IF(AND(AB116&gt;='Detailed Feasibility'!$C$56,AB116&lt;'Detailed Feasibility'!$D$56),($H$100/('Detailed Feasibility'!$D$56-'Detailed Feasibility'!$C$56)),0))</f>
        <v>0</v>
      </c>
      <c r="AC134" s="548">
        <f>IF(AC116="","",IF(AND(AC116&gt;='Detailed Feasibility'!$C$56,AC116&lt;'Detailed Feasibility'!$D$56),($H$100/('Detailed Feasibility'!$D$56-'Detailed Feasibility'!$C$56)),0))</f>
        <v>0</v>
      </c>
      <c r="AD134" s="548">
        <f>IF(AD116="","",IF(AND(AD116&gt;='Detailed Feasibility'!$C$56,AD116&lt;'Detailed Feasibility'!$D$56),($H$100/('Detailed Feasibility'!$D$56-'Detailed Feasibility'!$C$56)),0))</f>
        <v>0</v>
      </c>
      <c r="AE134" s="548">
        <f>IF(AE116="","",IF(AND(AE116&gt;='Detailed Feasibility'!$C$56,AE116&lt;'Detailed Feasibility'!$D$56),($H$100/('Detailed Feasibility'!$D$56-'Detailed Feasibility'!$C$56)),0))</f>
        <v>0</v>
      </c>
      <c r="AF134" s="548">
        <f>IF(AF116="","",IF(AND(AF116&gt;='Detailed Feasibility'!$C$56,AF116&lt;'Detailed Feasibility'!$D$56),($H$100/('Detailed Feasibility'!$D$56-'Detailed Feasibility'!$C$56)),0))</f>
        <v>0</v>
      </c>
      <c r="AG134" s="548">
        <f>IF(AG116="","",IF(AND(AG116&gt;='Detailed Feasibility'!$C$56,AG116&lt;'Detailed Feasibility'!$D$56),($H$100/('Detailed Feasibility'!$D$56-'Detailed Feasibility'!$C$56)),0))</f>
        <v>0</v>
      </c>
      <c r="AH134" s="548">
        <f>IF(AH116="","",IF(AND(AH116&gt;='Detailed Feasibility'!$C$56,AH116&lt;'Detailed Feasibility'!$D$56),($H$100/('Detailed Feasibility'!$D$56-'Detailed Feasibility'!$C$56)),0))</f>
        <v>0</v>
      </c>
      <c r="AI134" s="548">
        <f>IF(AI116="","",IF(AND(AI116&gt;='Detailed Feasibility'!$C$56,AI116&lt;'Detailed Feasibility'!$D$56),($H$100/('Detailed Feasibility'!$D$56-'Detailed Feasibility'!$C$56)),0))</f>
        <v>0</v>
      </c>
      <c r="AJ134" s="548">
        <f>IF(AJ116="","",IF(AND(AJ116&gt;='Detailed Feasibility'!$C$56,AJ116&lt;'Detailed Feasibility'!$D$56),($H$100/('Detailed Feasibility'!$D$56-'Detailed Feasibility'!$C$56)),0))</f>
        <v>0</v>
      </c>
      <c r="AK134" s="548">
        <f>IF(AK116="","",IF(AND(AK116&gt;='Detailed Feasibility'!$C$56,AK116&lt;'Detailed Feasibility'!$D$56),($H$100/('Detailed Feasibility'!$D$56-'Detailed Feasibility'!$C$56)),0))</f>
        <v>0</v>
      </c>
      <c r="AL134" s="548">
        <f>IF(AL116="","",IF(AND(AL116&gt;='Detailed Feasibility'!$C$56,AL116&lt;'Detailed Feasibility'!$D$56),($H$100/('Detailed Feasibility'!$D$56-'Detailed Feasibility'!$C$56)),0))</f>
        <v>0</v>
      </c>
      <c r="AM134" s="548">
        <f>IF(AM116="","",IF(AND(AM116&gt;='Detailed Feasibility'!$C$56,AM116&lt;'Detailed Feasibility'!$D$56),($H$100/('Detailed Feasibility'!$D$56-'Detailed Feasibility'!$C$56)),0))</f>
        <v>0</v>
      </c>
      <c r="AN134" s="548">
        <f>IF(AN116="","",IF(AND(AN116&gt;='Detailed Feasibility'!$C$56,AN116&lt;'Detailed Feasibility'!$D$56),($H$100/('Detailed Feasibility'!$D$56-'Detailed Feasibility'!$C$56)),0))</f>
        <v>0</v>
      </c>
      <c r="AO134" s="548">
        <f>IF(AO116="","",IF(AND(AO116&gt;='Detailed Feasibility'!$C$56,AO116&lt;'Detailed Feasibility'!$D$56),($H$100/('Detailed Feasibility'!$D$56-'Detailed Feasibility'!$C$56)),0))</f>
        <v>0</v>
      </c>
      <c r="AP134" s="548">
        <f>IF(AP116="","",IF(AND(AP116&gt;='Detailed Feasibility'!$C$56,AP116&lt;'Detailed Feasibility'!$D$56),($H$100/('Detailed Feasibility'!$D$56-'Detailed Feasibility'!$C$56)),0))</f>
        <v>0</v>
      </c>
      <c r="AQ134" s="548" t="str">
        <f>IF(AQ116="","",IF(AND(AQ116&gt;='Detailed Feasibility'!$C$56,AQ116&lt;'Detailed Feasibility'!$D$56),($H$100/('Detailed Feasibility'!$D$56-'Detailed Feasibility'!$C$56)),0))</f>
        <v/>
      </c>
      <c r="AR134" s="548" t="str">
        <f>IF(AR116="","",IF(AND(AR116&gt;='Detailed Feasibility'!$C$56,AR116&lt;'Detailed Feasibility'!$D$56),($H$100/('Detailed Feasibility'!$D$56-'Detailed Feasibility'!$C$56)),0))</f>
        <v/>
      </c>
      <c r="AS134" s="548" t="str">
        <f>IF(AS116="","",IF(AND(AS116&gt;='Detailed Feasibility'!$C$56,AS116&lt;'Detailed Feasibility'!$D$56),($H$100/('Detailed Feasibility'!$D$56-'Detailed Feasibility'!$C$56)),0))</f>
        <v/>
      </c>
      <c r="AT134" s="548" t="str">
        <f>IF(AT116="","",IF(AND(AT116&gt;='Detailed Feasibility'!$C$56,AT116&lt;'Detailed Feasibility'!$D$56),($H$100/('Detailed Feasibility'!$D$56-'Detailed Feasibility'!$C$56)),0))</f>
        <v/>
      </c>
      <c r="AU134" s="548" t="str">
        <f>IF(AU116="","",IF(AND(AU116&gt;='Detailed Feasibility'!$C$56,AU116&lt;'Detailed Feasibility'!$D$56),($H$100/('Detailed Feasibility'!$D$56-'Detailed Feasibility'!$C$56)),0))</f>
        <v/>
      </c>
      <c r="AV134" s="548" t="str">
        <f>IF(AV116="","",IF(AND(AV116&gt;='Detailed Feasibility'!$C$56,AV116&lt;'Detailed Feasibility'!$D$56),($H$100/('Detailed Feasibility'!$D$56-'Detailed Feasibility'!$C$56)),0))</f>
        <v/>
      </c>
      <c r="AW134" s="548" t="str">
        <f>IF(AW116="","",IF(AND(AW116&gt;='Detailed Feasibility'!$C$56,AW116&lt;'Detailed Feasibility'!$D$56),($H$100/('Detailed Feasibility'!$D$56-'Detailed Feasibility'!$C$56)),0))</f>
        <v/>
      </c>
      <c r="AX134" s="548" t="str">
        <f>IF(AX116="","",IF(AND(AX116&gt;='Detailed Feasibility'!$C$56,AX116&lt;'Detailed Feasibility'!$D$56),($H$100/('Detailed Feasibility'!$D$56-'Detailed Feasibility'!$C$56)),0))</f>
        <v/>
      </c>
      <c r="AY134" s="548" t="str">
        <f>IF(AY116="","",IF(AND(AY116&gt;='Detailed Feasibility'!$C$56,AY116&lt;'Detailed Feasibility'!$D$56),($H$100/('Detailed Feasibility'!$D$56-'Detailed Feasibility'!$C$56)),0))</f>
        <v/>
      </c>
      <c r="AZ134" s="548" t="str">
        <f>IF(AZ116="","",IF(AND(AZ116&gt;='Detailed Feasibility'!$C$56,AZ116&lt;'Detailed Feasibility'!$D$56),($H$100/('Detailed Feasibility'!$D$56-'Detailed Feasibility'!$C$56)),0))</f>
        <v/>
      </c>
      <c r="BA134" s="548" t="str">
        <f>IF(BA116="","",IF(AND(BA116&gt;='Detailed Feasibility'!$C$56,BA116&lt;'Detailed Feasibility'!$D$56),($H$100/('Detailed Feasibility'!$D$56-'Detailed Feasibility'!$C$56)),0))</f>
        <v/>
      </c>
      <c r="BB134" s="548" t="str">
        <f>IF(BB116="","",IF(AND(BB116&gt;='Detailed Feasibility'!$C$56,BB116&lt;'Detailed Feasibility'!$D$56),($H$100/('Detailed Feasibility'!$D$56-'Detailed Feasibility'!$C$56)),0))</f>
        <v/>
      </c>
      <c r="BC134" s="548" t="str">
        <f>IF(BC116="","",IF(AND(BC116&gt;='Detailed Feasibility'!$C$56,BC116&lt;'Detailed Feasibility'!$D$56),($H$100/('Detailed Feasibility'!$D$56-'Detailed Feasibility'!$C$56)),0))</f>
        <v/>
      </c>
      <c r="BD134" s="548" t="str">
        <f>IF(BD116="","",IF(AND(BD116&gt;='Detailed Feasibility'!$C$56,BD116&lt;'Detailed Feasibility'!$D$56),($H$100/('Detailed Feasibility'!$D$56-'Detailed Feasibility'!$C$56)),0))</f>
        <v/>
      </c>
      <c r="BE134" s="548" t="str">
        <f>IF(BE116="","",IF(AND(BE116&gt;='Detailed Feasibility'!$C$56,BE116&lt;'Detailed Feasibility'!$D$56),($H$100/('Detailed Feasibility'!$D$56-'Detailed Feasibility'!$C$56)),0))</f>
        <v/>
      </c>
      <c r="BF134" s="548" t="str">
        <f>IF(BF116="","",IF(AND(BF116&gt;='Detailed Feasibility'!$C$56,BF116&lt;'Detailed Feasibility'!$D$56),($H$100/('Detailed Feasibility'!$D$56-'Detailed Feasibility'!$C$56)),0))</f>
        <v/>
      </c>
      <c r="BG134" s="548" t="str">
        <f>IF(BG116="","",IF(AND(BG116&gt;='Detailed Feasibility'!$C$56,BG116&lt;'Detailed Feasibility'!$D$56),($H$100/('Detailed Feasibility'!$D$56-'Detailed Feasibility'!$C$56)),0))</f>
        <v/>
      </c>
      <c r="BH134" s="548" t="str">
        <f>IF(BH116="","",IF(AND(BH116&gt;='Detailed Feasibility'!$C$56,BH116&lt;'Detailed Feasibility'!$D$56),($H$100/('Detailed Feasibility'!$D$56-'Detailed Feasibility'!$C$56)),0))</f>
        <v/>
      </c>
      <c r="BI134" s="548" t="str">
        <f>IF(BI116="","",IF(AND(BI116&gt;='Detailed Feasibility'!$C$56,BI116&lt;'Detailed Feasibility'!$D$56),($H$100/('Detailed Feasibility'!$D$56-'Detailed Feasibility'!$C$56)),0))</f>
        <v/>
      </c>
      <c r="BJ134" s="548" t="str">
        <f>IF(BJ116="","",IF(AND(BJ116&gt;='Detailed Feasibility'!$C$56,BJ116&lt;'Detailed Feasibility'!$D$56),($H$100/('Detailed Feasibility'!$D$56-'Detailed Feasibility'!$C$56)),0))</f>
        <v/>
      </c>
      <c r="BK134" s="548" t="str">
        <f>IF(BK116="","",IF(AND(BK116&gt;='Detailed Feasibility'!$C$56,BK116&lt;'Detailed Feasibility'!$D$56),($H$100/('Detailed Feasibility'!$D$56-'Detailed Feasibility'!$C$56)),0))</f>
        <v/>
      </c>
      <c r="BL134" s="548" t="str">
        <f>IF(BL116="","",IF(AND(BL116&gt;='Detailed Feasibility'!$C$56,BL116&lt;'Detailed Feasibility'!$D$56),($H$100/('Detailed Feasibility'!$D$56-'Detailed Feasibility'!$C$56)),0))</f>
        <v/>
      </c>
      <c r="BM134" s="56" t="str">
        <f>IF(BM116="","",IF(AND(BM116&gt;='Detailed Feasibility'!$C$56,BM116&lt;'Detailed Feasibility'!$D$56),($H$100/('Detailed Feasibility'!$D$56-'Detailed Feasibility'!$C$56)),0))</f>
        <v/>
      </c>
    </row>
    <row r="135" spans="2:65" s="1" customFormat="1" x14ac:dyDescent="0.25">
      <c r="B135" s="547"/>
      <c r="C135" s="1" t="str">
        <f>I91</f>
        <v xml:space="preserve">Lockup </v>
      </c>
      <c r="D135" s="20">
        <f>I100</f>
        <v>1250930.25</v>
      </c>
      <c r="E135" s="187">
        <f>IF(SUM(F135:BM135)=D135,1,0)</f>
        <v>1</v>
      </c>
      <c r="F135" s="548">
        <f>SUMIF($G$65:$G$86,F116,$L$65:$L$86)</f>
        <v>0</v>
      </c>
      <c r="G135" s="548">
        <f t="shared" ref="G135:AL135" si="17">IF(G116="","",SUMIF($G$65:$G$86,G116,$L$65:$L$86))</f>
        <v>0</v>
      </c>
      <c r="H135" s="548">
        <f t="shared" si="17"/>
        <v>0</v>
      </c>
      <c r="I135" s="548">
        <f t="shared" si="17"/>
        <v>0</v>
      </c>
      <c r="J135" s="548">
        <f t="shared" si="17"/>
        <v>0</v>
      </c>
      <c r="K135" s="548">
        <f t="shared" si="17"/>
        <v>0</v>
      </c>
      <c r="L135" s="548">
        <f t="shared" si="17"/>
        <v>0</v>
      </c>
      <c r="M135" s="548">
        <f t="shared" si="17"/>
        <v>0</v>
      </c>
      <c r="N135" s="548">
        <f t="shared" si="17"/>
        <v>0</v>
      </c>
      <c r="O135" s="548">
        <f t="shared" si="17"/>
        <v>0</v>
      </c>
      <c r="P135" s="548">
        <f t="shared" si="17"/>
        <v>0</v>
      </c>
      <c r="Q135" s="548">
        <f t="shared" si="17"/>
        <v>0</v>
      </c>
      <c r="R135" s="548">
        <f t="shared" si="17"/>
        <v>0</v>
      </c>
      <c r="S135" s="548">
        <f t="shared" si="17"/>
        <v>0</v>
      </c>
      <c r="T135" s="548">
        <f t="shared" si="17"/>
        <v>0</v>
      </c>
      <c r="U135" s="548">
        <f t="shared" si="17"/>
        <v>0</v>
      </c>
      <c r="V135" s="548">
        <f t="shared" si="17"/>
        <v>436146</v>
      </c>
      <c r="W135" s="548">
        <f t="shared" si="17"/>
        <v>0</v>
      </c>
      <c r="X135" s="548">
        <f t="shared" si="17"/>
        <v>0</v>
      </c>
      <c r="Y135" s="548">
        <f t="shared" si="17"/>
        <v>0</v>
      </c>
      <c r="Z135" s="548">
        <f t="shared" si="17"/>
        <v>0</v>
      </c>
      <c r="AA135" s="548">
        <f t="shared" si="17"/>
        <v>0</v>
      </c>
      <c r="AB135" s="548">
        <f t="shared" si="17"/>
        <v>0</v>
      </c>
      <c r="AC135" s="548">
        <f t="shared" si="17"/>
        <v>385150.5</v>
      </c>
      <c r="AD135" s="548">
        <f t="shared" si="17"/>
        <v>0</v>
      </c>
      <c r="AE135" s="548">
        <f t="shared" si="17"/>
        <v>0</v>
      </c>
      <c r="AF135" s="548">
        <f t="shared" si="17"/>
        <v>429633.75000000006</v>
      </c>
      <c r="AG135" s="548">
        <f t="shared" si="17"/>
        <v>0</v>
      </c>
      <c r="AH135" s="548">
        <f t="shared" si="17"/>
        <v>0</v>
      </c>
      <c r="AI135" s="548">
        <f t="shared" si="17"/>
        <v>0</v>
      </c>
      <c r="AJ135" s="548">
        <f t="shared" si="17"/>
        <v>0</v>
      </c>
      <c r="AK135" s="548">
        <f t="shared" si="17"/>
        <v>0</v>
      </c>
      <c r="AL135" s="548">
        <f t="shared" si="17"/>
        <v>0</v>
      </c>
      <c r="AM135" s="548">
        <f t="shared" ref="AM135:BM135" si="18">IF(AM116="","",SUMIF($G$65:$G$86,AM116,$L$65:$L$86))</f>
        <v>0</v>
      </c>
      <c r="AN135" s="548">
        <f t="shared" si="18"/>
        <v>0</v>
      </c>
      <c r="AO135" s="548">
        <f t="shared" si="18"/>
        <v>0</v>
      </c>
      <c r="AP135" s="548">
        <f t="shared" si="18"/>
        <v>0</v>
      </c>
      <c r="AQ135" s="548" t="str">
        <f t="shared" si="18"/>
        <v/>
      </c>
      <c r="AR135" s="548" t="str">
        <f t="shared" si="18"/>
        <v/>
      </c>
      <c r="AS135" s="548" t="str">
        <f t="shared" si="18"/>
        <v/>
      </c>
      <c r="AT135" s="548" t="str">
        <f t="shared" si="18"/>
        <v/>
      </c>
      <c r="AU135" s="548" t="str">
        <f t="shared" si="18"/>
        <v/>
      </c>
      <c r="AV135" s="548" t="str">
        <f t="shared" si="18"/>
        <v/>
      </c>
      <c r="AW135" s="548" t="str">
        <f t="shared" si="18"/>
        <v/>
      </c>
      <c r="AX135" s="548" t="str">
        <f t="shared" si="18"/>
        <v/>
      </c>
      <c r="AY135" s="548" t="str">
        <f t="shared" si="18"/>
        <v/>
      </c>
      <c r="AZ135" s="548" t="str">
        <f t="shared" si="18"/>
        <v/>
      </c>
      <c r="BA135" s="548" t="str">
        <f t="shared" si="18"/>
        <v/>
      </c>
      <c r="BB135" s="548" t="str">
        <f t="shared" si="18"/>
        <v/>
      </c>
      <c r="BC135" s="548" t="str">
        <f t="shared" si="18"/>
        <v/>
      </c>
      <c r="BD135" s="548" t="str">
        <f t="shared" si="18"/>
        <v/>
      </c>
      <c r="BE135" s="548" t="str">
        <f t="shared" si="18"/>
        <v/>
      </c>
      <c r="BF135" s="548" t="str">
        <f t="shared" si="18"/>
        <v/>
      </c>
      <c r="BG135" s="548" t="str">
        <f t="shared" si="18"/>
        <v/>
      </c>
      <c r="BH135" s="548" t="str">
        <f t="shared" si="18"/>
        <v/>
      </c>
      <c r="BI135" s="548" t="str">
        <f t="shared" si="18"/>
        <v/>
      </c>
      <c r="BJ135" s="548" t="str">
        <f t="shared" si="18"/>
        <v/>
      </c>
      <c r="BK135" s="548" t="str">
        <f t="shared" si="18"/>
        <v/>
      </c>
      <c r="BL135" s="548" t="str">
        <f t="shared" si="18"/>
        <v/>
      </c>
      <c r="BM135" s="56" t="str">
        <f t="shared" si="18"/>
        <v/>
      </c>
    </row>
    <row r="136" spans="2:65" s="1" customFormat="1" x14ac:dyDescent="0.25">
      <c r="B136" s="547"/>
      <c r="C136" s="1" t="str">
        <f>J91</f>
        <v xml:space="preserve">Completion </v>
      </c>
      <c r="D136" s="20">
        <f>J100</f>
        <v>1667907.0000000002</v>
      </c>
      <c r="E136" s="187">
        <f>IF(SUM(F136:BM136)=D136,1,0)</f>
        <v>1</v>
      </c>
      <c r="F136" s="548">
        <f>SUMIF($H$65:$H$86,F116,$M$65:$M$86)</f>
        <v>0</v>
      </c>
      <c r="G136" s="548">
        <f t="shared" ref="G136:AL136" si="19">IF(G116="","",SUMIF($H$65:$H$84,G116,$M$65:$M$86))</f>
        <v>0</v>
      </c>
      <c r="H136" s="548">
        <f t="shared" si="19"/>
        <v>0</v>
      </c>
      <c r="I136" s="548">
        <f t="shared" si="19"/>
        <v>0</v>
      </c>
      <c r="J136" s="548">
        <f t="shared" si="19"/>
        <v>0</v>
      </c>
      <c r="K136" s="548">
        <f t="shared" si="19"/>
        <v>0</v>
      </c>
      <c r="L136" s="548">
        <f t="shared" si="19"/>
        <v>0</v>
      </c>
      <c r="M136" s="548">
        <f t="shared" si="19"/>
        <v>0</v>
      </c>
      <c r="N136" s="548">
        <f t="shared" si="19"/>
        <v>0</v>
      </c>
      <c r="O136" s="548">
        <f t="shared" si="19"/>
        <v>0</v>
      </c>
      <c r="P136" s="548">
        <f t="shared" si="19"/>
        <v>0</v>
      </c>
      <c r="Q136" s="548">
        <f t="shared" si="19"/>
        <v>0</v>
      </c>
      <c r="R136" s="548">
        <f t="shared" si="19"/>
        <v>0</v>
      </c>
      <c r="S136" s="548">
        <f t="shared" si="19"/>
        <v>0</v>
      </c>
      <c r="T136" s="548">
        <f t="shared" si="19"/>
        <v>0</v>
      </c>
      <c r="U136" s="548">
        <f t="shared" si="19"/>
        <v>0</v>
      </c>
      <c r="V136" s="548">
        <f t="shared" si="19"/>
        <v>0</v>
      </c>
      <c r="W136" s="548">
        <f t="shared" si="19"/>
        <v>581528</v>
      </c>
      <c r="X136" s="548">
        <f t="shared" si="19"/>
        <v>0</v>
      </c>
      <c r="Y136" s="548">
        <f t="shared" si="19"/>
        <v>0</v>
      </c>
      <c r="Z136" s="548">
        <f t="shared" si="19"/>
        <v>0</v>
      </c>
      <c r="AA136" s="548">
        <f t="shared" si="19"/>
        <v>0</v>
      </c>
      <c r="AB136" s="548">
        <f t="shared" si="19"/>
        <v>0</v>
      </c>
      <c r="AC136" s="548">
        <f t="shared" si="19"/>
        <v>0</v>
      </c>
      <c r="AD136" s="548">
        <f t="shared" si="19"/>
        <v>513534</v>
      </c>
      <c r="AE136" s="548">
        <f t="shared" si="19"/>
        <v>0</v>
      </c>
      <c r="AF136" s="548">
        <f t="shared" si="19"/>
        <v>0</v>
      </c>
      <c r="AG136" s="548">
        <f t="shared" si="19"/>
        <v>572845.00000000012</v>
      </c>
      <c r="AH136" s="548">
        <f t="shared" si="19"/>
        <v>0</v>
      </c>
      <c r="AI136" s="548">
        <f t="shared" si="19"/>
        <v>0</v>
      </c>
      <c r="AJ136" s="548">
        <f t="shared" si="19"/>
        <v>0</v>
      </c>
      <c r="AK136" s="548">
        <f t="shared" si="19"/>
        <v>0</v>
      </c>
      <c r="AL136" s="548">
        <f t="shared" si="19"/>
        <v>0</v>
      </c>
      <c r="AM136" s="548">
        <f t="shared" ref="AM136:BM136" si="20">IF(AM116="","",SUMIF($H$65:$H$84,AM116,$M$65:$M$86))</f>
        <v>0</v>
      </c>
      <c r="AN136" s="548">
        <f t="shared" si="20"/>
        <v>0</v>
      </c>
      <c r="AO136" s="548">
        <f t="shared" si="20"/>
        <v>0</v>
      </c>
      <c r="AP136" s="548">
        <f t="shared" si="20"/>
        <v>0</v>
      </c>
      <c r="AQ136" s="548" t="str">
        <f t="shared" si="20"/>
        <v/>
      </c>
      <c r="AR136" s="548" t="str">
        <f t="shared" si="20"/>
        <v/>
      </c>
      <c r="AS136" s="548" t="str">
        <f t="shared" si="20"/>
        <v/>
      </c>
      <c r="AT136" s="548" t="str">
        <f t="shared" si="20"/>
        <v/>
      </c>
      <c r="AU136" s="548" t="str">
        <f t="shared" si="20"/>
        <v/>
      </c>
      <c r="AV136" s="548" t="str">
        <f t="shared" si="20"/>
        <v/>
      </c>
      <c r="AW136" s="548" t="str">
        <f t="shared" si="20"/>
        <v/>
      </c>
      <c r="AX136" s="548" t="str">
        <f t="shared" si="20"/>
        <v/>
      </c>
      <c r="AY136" s="548" t="str">
        <f t="shared" si="20"/>
        <v/>
      </c>
      <c r="AZ136" s="548" t="str">
        <f t="shared" si="20"/>
        <v/>
      </c>
      <c r="BA136" s="548" t="str">
        <f t="shared" si="20"/>
        <v/>
      </c>
      <c r="BB136" s="548" t="str">
        <f t="shared" si="20"/>
        <v/>
      </c>
      <c r="BC136" s="548" t="str">
        <f t="shared" si="20"/>
        <v/>
      </c>
      <c r="BD136" s="548" t="str">
        <f t="shared" si="20"/>
        <v/>
      </c>
      <c r="BE136" s="548" t="str">
        <f t="shared" si="20"/>
        <v/>
      </c>
      <c r="BF136" s="548" t="str">
        <f t="shared" si="20"/>
        <v/>
      </c>
      <c r="BG136" s="548" t="str">
        <f t="shared" si="20"/>
        <v/>
      </c>
      <c r="BH136" s="548" t="str">
        <f t="shared" si="20"/>
        <v/>
      </c>
      <c r="BI136" s="548" t="str">
        <f t="shared" si="20"/>
        <v/>
      </c>
      <c r="BJ136" s="548" t="str">
        <f t="shared" si="20"/>
        <v/>
      </c>
      <c r="BK136" s="548" t="str">
        <f t="shared" si="20"/>
        <v/>
      </c>
      <c r="BL136" s="548" t="str">
        <f t="shared" si="20"/>
        <v/>
      </c>
      <c r="BM136" s="56" t="str">
        <f t="shared" si="20"/>
        <v/>
      </c>
    </row>
    <row r="137" spans="2:65" s="1" customFormat="1" x14ac:dyDescent="0.25">
      <c r="B137" s="543" t="s">
        <v>349</v>
      </c>
      <c r="C137" s="62"/>
      <c r="D137" s="557"/>
      <c r="E137" s="63"/>
      <c r="F137" s="558"/>
      <c r="G137" s="558"/>
      <c r="H137" s="558"/>
      <c r="I137" s="558"/>
      <c r="J137" s="558"/>
      <c r="K137" s="558"/>
      <c r="L137" s="558"/>
      <c r="M137" s="558"/>
      <c r="N137" s="558"/>
      <c r="O137" s="558"/>
      <c r="P137" s="558"/>
      <c r="Q137" s="558"/>
      <c r="R137" s="558"/>
      <c r="S137" s="558"/>
      <c r="T137" s="558"/>
      <c r="U137" s="558"/>
      <c r="V137" s="558"/>
      <c r="W137" s="558"/>
      <c r="X137" s="558"/>
      <c r="Y137" s="558"/>
      <c r="Z137" s="558"/>
      <c r="AA137" s="558"/>
      <c r="AB137" s="558"/>
      <c r="AC137" s="558"/>
      <c r="AD137" s="558"/>
      <c r="AE137" s="558"/>
      <c r="AF137" s="558"/>
      <c r="AG137" s="558"/>
      <c r="AH137" s="558"/>
      <c r="AI137" s="558"/>
      <c r="AJ137" s="558"/>
      <c r="AK137" s="558"/>
      <c r="AL137" s="558"/>
      <c r="AM137" s="558"/>
      <c r="AN137" s="558"/>
      <c r="AO137" s="558"/>
      <c r="AP137" s="558"/>
      <c r="AQ137" s="558"/>
      <c r="AR137" s="558"/>
      <c r="AS137" s="558"/>
      <c r="AT137" s="558"/>
      <c r="AU137" s="558"/>
      <c r="AV137" s="558"/>
      <c r="AW137" s="558"/>
      <c r="AX137" s="558"/>
      <c r="AY137" s="558"/>
      <c r="AZ137" s="558"/>
      <c r="BA137" s="558"/>
      <c r="BB137" s="558"/>
      <c r="BC137" s="558"/>
      <c r="BD137" s="558"/>
      <c r="BE137" s="558"/>
      <c r="BF137" s="558"/>
      <c r="BG137" s="558"/>
      <c r="BH137" s="558"/>
      <c r="BI137" s="558"/>
      <c r="BJ137" s="558"/>
      <c r="BK137" s="558"/>
      <c r="BL137" s="558"/>
      <c r="BM137" s="559"/>
    </row>
    <row r="138" spans="2:65" s="1" customFormat="1" x14ac:dyDescent="0.25">
      <c r="B138" s="547" t="str">
        <f>B106</f>
        <v xml:space="preserve">Provider Cash Contribution </v>
      </c>
      <c r="D138" s="20">
        <f>D106</f>
        <v>0</v>
      </c>
      <c r="E138" s="187">
        <f>IF(SUM(F138:BM138)=D138,1,0)</f>
        <v>1</v>
      </c>
      <c r="F138" s="548">
        <f>IF(F116=$E$106,$D$106,0)</f>
        <v>0</v>
      </c>
      <c r="G138" s="548">
        <f>IF(G116="","",IF(G116=$E$106,$D$106,0))</f>
        <v>0</v>
      </c>
      <c r="H138" s="548">
        <f t="shared" ref="H138:BM138" si="21">IF(H116="","",IF(H116=$E$106,$D$106,0))</f>
        <v>0</v>
      </c>
      <c r="I138" s="548">
        <f t="shared" si="21"/>
        <v>0</v>
      </c>
      <c r="J138" s="548">
        <f t="shared" si="21"/>
        <v>0</v>
      </c>
      <c r="K138" s="548">
        <f t="shared" si="21"/>
        <v>0</v>
      </c>
      <c r="L138" s="548">
        <f t="shared" si="21"/>
        <v>0</v>
      </c>
      <c r="M138" s="548">
        <f t="shared" si="21"/>
        <v>0</v>
      </c>
      <c r="N138" s="548">
        <f t="shared" si="21"/>
        <v>0</v>
      </c>
      <c r="O138" s="548">
        <f t="shared" si="21"/>
        <v>0</v>
      </c>
      <c r="P138" s="548">
        <f t="shared" si="21"/>
        <v>0</v>
      </c>
      <c r="Q138" s="548">
        <f t="shared" si="21"/>
        <v>0</v>
      </c>
      <c r="R138" s="548">
        <f t="shared" si="21"/>
        <v>0</v>
      </c>
      <c r="S138" s="548">
        <f t="shared" si="21"/>
        <v>0</v>
      </c>
      <c r="T138" s="548">
        <f t="shared" si="21"/>
        <v>0</v>
      </c>
      <c r="U138" s="548">
        <f t="shared" si="21"/>
        <v>0</v>
      </c>
      <c r="V138" s="548">
        <f t="shared" si="21"/>
        <v>0</v>
      </c>
      <c r="W138" s="548">
        <f t="shared" si="21"/>
        <v>0</v>
      </c>
      <c r="X138" s="548">
        <f t="shared" si="21"/>
        <v>0</v>
      </c>
      <c r="Y138" s="548">
        <f t="shared" si="21"/>
        <v>0</v>
      </c>
      <c r="Z138" s="548">
        <f t="shared" si="21"/>
        <v>0</v>
      </c>
      <c r="AA138" s="548">
        <f t="shared" si="21"/>
        <v>0</v>
      </c>
      <c r="AB138" s="548">
        <f t="shared" si="21"/>
        <v>0</v>
      </c>
      <c r="AC138" s="548">
        <f t="shared" si="21"/>
        <v>0</v>
      </c>
      <c r="AD138" s="548">
        <f t="shared" si="21"/>
        <v>0</v>
      </c>
      <c r="AE138" s="548">
        <f t="shared" si="21"/>
        <v>0</v>
      </c>
      <c r="AF138" s="548">
        <f t="shared" si="21"/>
        <v>0</v>
      </c>
      <c r="AG138" s="548">
        <f t="shared" si="21"/>
        <v>0</v>
      </c>
      <c r="AH138" s="548">
        <f t="shared" si="21"/>
        <v>0</v>
      </c>
      <c r="AI138" s="548">
        <f t="shared" si="21"/>
        <v>0</v>
      </c>
      <c r="AJ138" s="548">
        <f t="shared" si="21"/>
        <v>0</v>
      </c>
      <c r="AK138" s="548">
        <f t="shared" si="21"/>
        <v>0</v>
      </c>
      <c r="AL138" s="548">
        <f t="shared" si="21"/>
        <v>0</v>
      </c>
      <c r="AM138" s="548">
        <f t="shared" si="21"/>
        <v>0</v>
      </c>
      <c r="AN138" s="548">
        <f t="shared" si="21"/>
        <v>0</v>
      </c>
      <c r="AO138" s="548">
        <f t="shared" si="21"/>
        <v>0</v>
      </c>
      <c r="AP138" s="548">
        <f t="shared" si="21"/>
        <v>0</v>
      </c>
      <c r="AQ138" s="548" t="str">
        <f t="shared" si="21"/>
        <v/>
      </c>
      <c r="AR138" s="548" t="str">
        <f t="shared" si="21"/>
        <v/>
      </c>
      <c r="AS138" s="548" t="str">
        <f t="shared" si="21"/>
        <v/>
      </c>
      <c r="AT138" s="548" t="str">
        <f t="shared" si="21"/>
        <v/>
      </c>
      <c r="AU138" s="548" t="str">
        <f t="shared" si="21"/>
        <v/>
      </c>
      <c r="AV138" s="548" t="str">
        <f t="shared" si="21"/>
        <v/>
      </c>
      <c r="AW138" s="548" t="str">
        <f t="shared" si="21"/>
        <v/>
      </c>
      <c r="AX138" s="548" t="str">
        <f t="shared" si="21"/>
        <v/>
      </c>
      <c r="AY138" s="548" t="str">
        <f t="shared" si="21"/>
        <v/>
      </c>
      <c r="AZ138" s="548" t="str">
        <f t="shared" si="21"/>
        <v/>
      </c>
      <c r="BA138" s="548" t="str">
        <f t="shared" si="21"/>
        <v/>
      </c>
      <c r="BB138" s="548" t="str">
        <f t="shared" si="21"/>
        <v/>
      </c>
      <c r="BC138" s="548" t="str">
        <f t="shared" si="21"/>
        <v/>
      </c>
      <c r="BD138" s="548" t="str">
        <f t="shared" si="21"/>
        <v/>
      </c>
      <c r="BE138" s="548" t="str">
        <f t="shared" si="21"/>
        <v/>
      </c>
      <c r="BF138" s="548" t="str">
        <f t="shared" si="21"/>
        <v/>
      </c>
      <c r="BG138" s="548" t="str">
        <f t="shared" si="21"/>
        <v/>
      </c>
      <c r="BH138" s="548" t="str">
        <f t="shared" si="21"/>
        <v/>
      </c>
      <c r="BI138" s="548" t="str">
        <f t="shared" si="21"/>
        <v/>
      </c>
      <c r="BJ138" s="548" t="str">
        <f t="shared" si="21"/>
        <v/>
      </c>
      <c r="BK138" s="548" t="str">
        <f t="shared" si="21"/>
        <v/>
      </c>
      <c r="BL138" s="548" t="str">
        <f t="shared" si="21"/>
        <v/>
      </c>
      <c r="BM138" s="56" t="str">
        <f t="shared" si="21"/>
        <v/>
      </c>
    </row>
    <row r="139" spans="2:65" s="1" customFormat="1" x14ac:dyDescent="0.25">
      <c r="B139" s="547" t="str">
        <f>B107</f>
        <v xml:space="preserve">Other Source </v>
      </c>
      <c r="D139" s="20">
        <f>D107</f>
        <v>0</v>
      </c>
      <c r="E139" s="187">
        <f>IF(SUM(F139:BM139)=D139,1,0)</f>
        <v>1</v>
      </c>
      <c r="F139" s="548">
        <f>IF(F116=$E$107,$D$107,0)</f>
        <v>0</v>
      </c>
      <c r="G139" s="548">
        <f>IF(G116="","",IF(G116=$E$107,$D$107,0))</f>
        <v>0</v>
      </c>
      <c r="H139" s="548">
        <f t="shared" ref="H139:BM139" si="22">IF(H116="","",IF(H116=$E$107,$D$107,0))</f>
        <v>0</v>
      </c>
      <c r="I139" s="548">
        <f t="shared" si="22"/>
        <v>0</v>
      </c>
      <c r="J139" s="548">
        <f t="shared" si="22"/>
        <v>0</v>
      </c>
      <c r="K139" s="548">
        <f t="shared" si="22"/>
        <v>0</v>
      </c>
      <c r="L139" s="548">
        <f t="shared" si="22"/>
        <v>0</v>
      </c>
      <c r="M139" s="548">
        <f t="shared" si="22"/>
        <v>0</v>
      </c>
      <c r="N139" s="548">
        <f t="shared" si="22"/>
        <v>0</v>
      </c>
      <c r="O139" s="548">
        <f t="shared" si="22"/>
        <v>0</v>
      </c>
      <c r="P139" s="548">
        <f t="shared" si="22"/>
        <v>0</v>
      </c>
      <c r="Q139" s="548">
        <f t="shared" si="22"/>
        <v>0</v>
      </c>
      <c r="R139" s="548">
        <f t="shared" si="22"/>
        <v>0</v>
      </c>
      <c r="S139" s="548">
        <f t="shared" si="22"/>
        <v>0</v>
      </c>
      <c r="T139" s="548">
        <f t="shared" si="22"/>
        <v>0</v>
      </c>
      <c r="U139" s="548">
        <f t="shared" si="22"/>
        <v>0</v>
      </c>
      <c r="V139" s="548">
        <f t="shared" si="22"/>
        <v>0</v>
      </c>
      <c r="W139" s="548">
        <f t="shared" si="22"/>
        <v>0</v>
      </c>
      <c r="X139" s="548">
        <f t="shared" si="22"/>
        <v>0</v>
      </c>
      <c r="Y139" s="548">
        <f t="shared" si="22"/>
        <v>0</v>
      </c>
      <c r="Z139" s="548">
        <f t="shared" si="22"/>
        <v>0</v>
      </c>
      <c r="AA139" s="548">
        <f t="shared" si="22"/>
        <v>0</v>
      </c>
      <c r="AB139" s="548">
        <f t="shared" si="22"/>
        <v>0</v>
      </c>
      <c r="AC139" s="548">
        <f t="shared" si="22"/>
        <v>0</v>
      </c>
      <c r="AD139" s="548">
        <f t="shared" si="22"/>
        <v>0</v>
      </c>
      <c r="AE139" s="548">
        <f t="shared" si="22"/>
        <v>0</v>
      </c>
      <c r="AF139" s="548">
        <f t="shared" si="22"/>
        <v>0</v>
      </c>
      <c r="AG139" s="548">
        <f t="shared" si="22"/>
        <v>0</v>
      </c>
      <c r="AH139" s="548">
        <f t="shared" si="22"/>
        <v>0</v>
      </c>
      <c r="AI139" s="548">
        <f t="shared" si="22"/>
        <v>0</v>
      </c>
      <c r="AJ139" s="548">
        <f t="shared" si="22"/>
        <v>0</v>
      </c>
      <c r="AK139" s="548">
        <f t="shared" si="22"/>
        <v>0</v>
      </c>
      <c r="AL139" s="548">
        <f t="shared" si="22"/>
        <v>0</v>
      </c>
      <c r="AM139" s="548">
        <f t="shared" si="22"/>
        <v>0</v>
      </c>
      <c r="AN139" s="548">
        <f t="shared" si="22"/>
        <v>0</v>
      </c>
      <c r="AO139" s="548">
        <f t="shared" si="22"/>
        <v>0</v>
      </c>
      <c r="AP139" s="548">
        <f t="shared" si="22"/>
        <v>0</v>
      </c>
      <c r="AQ139" s="548" t="str">
        <f t="shared" si="22"/>
        <v/>
      </c>
      <c r="AR139" s="548" t="str">
        <f t="shared" si="22"/>
        <v/>
      </c>
      <c r="AS139" s="548" t="str">
        <f t="shared" si="22"/>
        <v/>
      </c>
      <c r="AT139" s="548" t="str">
        <f t="shared" si="22"/>
        <v/>
      </c>
      <c r="AU139" s="548" t="str">
        <f t="shared" si="22"/>
        <v/>
      </c>
      <c r="AV139" s="548" t="str">
        <f t="shared" si="22"/>
        <v/>
      </c>
      <c r="AW139" s="548" t="str">
        <f t="shared" si="22"/>
        <v/>
      </c>
      <c r="AX139" s="548" t="str">
        <f t="shared" si="22"/>
        <v/>
      </c>
      <c r="AY139" s="548" t="str">
        <f t="shared" si="22"/>
        <v/>
      </c>
      <c r="AZ139" s="548" t="str">
        <f t="shared" si="22"/>
        <v/>
      </c>
      <c r="BA139" s="548" t="str">
        <f t="shared" si="22"/>
        <v/>
      </c>
      <c r="BB139" s="548" t="str">
        <f t="shared" si="22"/>
        <v/>
      </c>
      <c r="BC139" s="548" t="str">
        <f t="shared" si="22"/>
        <v/>
      </c>
      <c r="BD139" s="548" t="str">
        <f t="shared" si="22"/>
        <v/>
      </c>
      <c r="BE139" s="548" t="str">
        <f t="shared" si="22"/>
        <v/>
      </c>
      <c r="BF139" s="548" t="str">
        <f t="shared" si="22"/>
        <v/>
      </c>
      <c r="BG139" s="548" t="str">
        <f t="shared" si="22"/>
        <v/>
      </c>
      <c r="BH139" s="548" t="str">
        <f t="shared" si="22"/>
        <v/>
      </c>
      <c r="BI139" s="548" t="str">
        <f t="shared" si="22"/>
        <v/>
      </c>
      <c r="BJ139" s="548" t="str">
        <f t="shared" si="22"/>
        <v/>
      </c>
      <c r="BK139" s="548" t="str">
        <f t="shared" si="22"/>
        <v/>
      </c>
      <c r="BL139" s="548" t="str">
        <f t="shared" si="22"/>
        <v/>
      </c>
      <c r="BM139" s="56" t="str">
        <f t="shared" si="22"/>
        <v/>
      </c>
    </row>
    <row r="140" spans="2:65" s="1" customFormat="1" x14ac:dyDescent="0.25">
      <c r="B140" s="547" t="str">
        <f>B108</f>
        <v xml:space="preserve">Other Source </v>
      </c>
      <c r="D140" s="20">
        <f>D108</f>
        <v>0</v>
      </c>
      <c r="E140" s="187">
        <f>IF(SUM(F140:BM140)=D140,1,0)</f>
        <v>1</v>
      </c>
      <c r="F140" s="548">
        <f>IF(F116=$E$108,$D$108,0)</f>
        <v>0</v>
      </c>
      <c r="G140" s="548">
        <f>IF(G116="","",IF(G116=$E$108,$D$108,0))</f>
        <v>0</v>
      </c>
      <c r="H140" s="548">
        <f t="shared" ref="H140:BM140" si="23">IF(H116="","",IF(H116=$E$108,$D$108,0))</f>
        <v>0</v>
      </c>
      <c r="I140" s="548">
        <f t="shared" si="23"/>
        <v>0</v>
      </c>
      <c r="J140" s="548">
        <f t="shared" si="23"/>
        <v>0</v>
      </c>
      <c r="K140" s="548">
        <f t="shared" si="23"/>
        <v>0</v>
      </c>
      <c r="L140" s="548">
        <f t="shared" si="23"/>
        <v>0</v>
      </c>
      <c r="M140" s="548">
        <f t="shared" si="23"/>
        <v>0</v>
      </c>
      <c r="N140" s="548">
        <f t="shared" si="23"/>
        <v>0</v>
      </c>
      <c r="O140" s="548">
        <f t="shared" si="23"/>
        <v>0</v>
      </c>
      <c r="P140" s="548">
        <f t="shared" si="23"/>
        <v>0</v>
      </c>
      <c r="Q140" s="548">
        <f t="shared" si="23"/>
        <v>0</v>
      </c>
      <c r="R140" s="548">
        <f t="shared" si="23"/>
        <v>0</v>
      </c>
      <c r="S140" s="548">
        <f t="shared" si="23"/>
        <v>0</v>
      </c>
      <c r="T140" s="548">
        <f t="shared" si="23"/>
        <v>0</v>
      </c>
      <c r="U140" s="548">
        <f t="shared" si="23"/>
        <v>0</v>
      </c>
      <c r="V140" s="548">
        <f t="shared" si="23"/>
        <v>0</v>
      </c>
      <c r="W140" s="548">
        <f t="shared" si="23"/>
        <v>0</v>
      </c>
      <c r="X140" s="548">
        <f t="shared" si="23"/>
        <v>0</v>
      </c>
      <c r="Y140" s="548">
        <f t="shared" si="23"/>
        <v>0</v>
      </c>
      <c r="Z140" s="548">
        <f t="shared" si="23"/>
        <v>0</v>
      </c>
      <c r="AA140" s="548">
        <f t="shared" si="23"/>
        <v>0</v>
      </c>
      <c r="AB140" s="548">
        <f t="shared" si="23"/>
        <v>0</v>
      </c>
      <c r="AC140" s="548">
        <f t="shared" si="23"/>
        <v>0</v>
      </c>
      <c r="AD140" s="548">
        <f t="shared" si="23"/>
        <v>0</v>
      </c>
      <c r="AE140" s="548">
        <f t="shared" si="23"/>
        <v>0</v>
      </c>
      <c r="AF140" s="548">
        <f t="shared" si="23"/>
        <v>0</v>
      </c>
      <c r="AG140" s="548">
        <f t="shared" si="23"/>
        <v>0</v>
      </c>
      <c r="AH140" s="548">
        <f t="shared" si="23"/>
        <v>0</v>
      </c>
      <c r="AI140" s="548">
        <f t="shared" si="23"/>
        <v>0</v>
      </c>
      <c r="AJ140" s="548">
        <f t="shared" si="23"/>
        <v>0</v>
      </c>
      <c r="AK140" s="548">
        <f t="shared" si="23"/>
        <v>0</v>
      </c>
      <c r="AL140" s="548">
        <f t="shared" si="23"/>
        <v>0</v>
      </c>
      <c r="AM140" s="548">
        <f t="shared" si="23"/>
        <v>0</v>
      </c>
      <c r="AN140" s="548">
        <f t="shared" si="23"/>
        <v>0</v>
      </c>
      <c r="AO140" s="548">
        <f t="shared" si="23"/>
        <v>0</v>
      </c>
      <c r="AP140" s="548">
        <f t="shared" si="23"/>
        <v>0</v>
      </c>
      <c r="AQ140" s="548" t="str">
        <f t="shared" si="23"/>
        <v/>
      </c>
      <c r="AR140" s="548" t="str">
        <f t="shared" si="23"/>
        <v/>
      </c>
      <c r="AS140" s="548" t="str">
        <f t="shared" si="23"/>
        <v/>
      </c>
      <c r="AT140" s="548" t="str">
        <f t="shared" si="23"/>
        <v/>
      </c>
      <c r="AU140" s="548" t="str">
        <f t="shared" si="23"/>
        <v/>
      </c>
      <c r="AV140" s="548" t="str">
        <f t="shared" si="23"/>
        <v/>
      </c>
      <c r="AW140" s="548" t="str">
        <f t="shared" si="23"/>
        <v/>
      </c>
      <c r="AX140" s="548" t="str">
        <f t="shared" si="23"/>
        <v/>
      </c>
      <c r="AY140" s="548" t="str">
        <f t="shared" si="23"/>
        <v/>
      </c>
      <c r="AZ140" s="548" t="str">
        <f t="shared" si="23"/>
        <v/>
      </c>
      <c r="BA140" s="548" t="str">
        <f t="shared" si="23"/>
        <v/>
      </c>
      <c r="BB140" s="548" t="str">
        <f t="shared" si="23"/>
        <v/>
      </c>
      <c r="BC140" s="548" t="str">
        <f t="shared" si="23"/>
        <v/>
      </c>
      <c r="BD140" s="548" t="str">
        <f t="shared" si="23"/>
        <v/>
      </c>
      <c r="BE140" s="548" t="str">
        <f t="shared" si="23"/>
        <v/>
      </c>
      <c r="BF140" s="548" t="str">
        <f t="shared" si="23"/>
        <v/>
      </c>
      <c r="BG140" s="548" t="str">
        <f t="shared" si="23"/>
        <v/>
      </c>
      <c r="BH140" s="548" t="str">
        <f t="shared" si="23"/>
        <v/>
      </c>
      <c r="BI140" s="548" t="str">
        <f t="shared" si="23"/>
        <v/>
      </c>
      <c r="BJ140" s="548" t="str">
        <f t="shared" si="23"/>
        <v/>
      </c>
      <c r="BK140" s="548" t="str">
        <f t="shared" si="23"/>
        <v/>
      </c>
      <c r="BL140" s="548" t="str">
        <f t="shared" si="23"/>
        <v/>
      </c>
      <c r="BM140" s="56" t="str">
        <f t="shared" si="23"/>
        <v/>
      </c>
    </row>
    <row r="141" spans="2:65" s="1" customFormat="1" x14ac:dyDescent="0.25">
      <c r="B141" s="547" t="str">
        <f>B109</f>
        <v xml:space="preserve">Other Source </v>
      </c>
      <c r="D141" s="20">
        <f>D109</f>
        <v>0</v>
      </c>
      <c r="E141" s="187">
        <f>IF(SUM(F141:BM141)=D141,1,0)</f>
        <v>1</v>
      </c>
      <c r="F141" s="548">
        <f>IF(F116=$E$109,$D$109,0)</f>
        <v>0</v>
      </c>
      <c r="G141" s="548">
        <f>IF(G116="","",IF(G116=$E$109,$D$109,0))</f>
        <v>0</v>
      </c>
      <c r="H141" s="548">
        <f t="shared" ref="H141:BM141" si="24">IF(H116="","",IF(H116=$E$109,$D$109,0))</f>
        <v>0</v>
      </c>
      <c r="I141" s="548">
        <f t="shared" si="24"/>
        <v>0</v>
      </c>
      <c r="J141" s="548">
        <f t="shared" si="24"/>
        <v>0</v>
      </c>
      <c r="K141" s="548">
        <f t="shared" si="24"/>
        <v>0</v>
      </c>
      <c r="L141" s="548">
        <f t="shared" si="24"/>
        <v>0</v>
      </c>
      <c r="M141" s="548">
        <f t="shared" si="24"/>
        <v>0</v>
      </c>
      <c r="N141" s="548">
        <f t="shared" si="24"/>
        <v>0</v>
      </c>
      <c r="O141" s="548">
        <f t="shared" si="24"/>
        <v>0</v>
      </c>
      <c r="P141" s="548">
        <f t="shared" si="24"/>
        <v>0</v>
      </c>
      <c r="Q141" s="548">
        <f t="shared" si="24"/>
        <v>0</v>
      </c>
      <c r="R141" s="548">
        <f t="shared" si="24"/>
        <v>0</v>
      </c>
      <c r="S141" s="548">
        <f t="shared" si="24"/>
        <v>0</v>
      </c>
      <c r="T141" s="548">
        <f t="shared" si="24"/>
        <v>0</v>
      </c>
      <c r="U141" s="548">
        <f t="shared" si="24"/>
        <v>0</v>
      </c>
      <c r="V141" s="548">
        <f t="shared" si="24"/>
        <v>0</v>
      </c>
      <c r="W141" s="548">
        <f t="shared" si="24"/>
        <v>0</v>
      </c>
      <c r="X141" s="548">
        <f t="shared" si="24"/>
        <v>0</v>
      </c>
      <c r="Y141" s="548">
        <f t="shared" si="24"/>
        <v>0</v>
      </c>
      <c r="Z141" s="548">
        <f t="shared" si="24"/>
        <v>0</v>
      </c>
      <c r="AA141" s="548">
        <f t="shared" si="24"/>
        <v>0</v>
      </c>
      <c r="AB141" s="548">
        <f t="shared" si="24"/>
        <v>0</v>
      </c>
      <c r="AC141" s="548">
        <f t="shared" si="24"/>
        <v>0</v>
      </c>
      <c r="AD141" s="548">
        <f t="shared" si="24"/>
        <v>0</v>
      </c>
      <c r="AE141" s="548">
        <f t="shared" si="24"/>
        <v>0</v>
      </c>
      <c r="AF141" s="548">
        <f t="shared" si="24"/>
        <v>0</v>
      </c>
      <c r="AG141" s="548">
        <f t="shared" si="24"/>
        <v>0</v>
      </c>
      <c r="AH141" s="548">
        <f t="shared" si="24"/>
        <v>0</v>
      </c>
      <c r="AI141" s="548">
        <f t="shared" si="24"/>
        <v>0</v>
      </c>
      <c r="AJ141" s="548">
        <f t="shared" si="24"/>
        <v>0</v>
      </c>
      <c r="AK141" s="548">
        <f t="shared" si="24"/>
        <v>0</v>
      </c>
      <c r="AL141" s="548">
        <f t="shared" si="24"/>
        <v>0</v>
      </c>
      <c r="AM141" s="548">
        <f t="shared" si="24"/>
        <v>0</v>
      </c>
      <c r="AN141" s="548">
        <f t="shared" si="24"/>
        <v>0</v>
      </c>
      <c r="AO141" s="548">
        <f t="shared" si="24"/>
        <v>0</v>
      </c>
      <c r="AP141" s="548">
        <f t="shared" si="24"/>
        <v>0</v>
      </c>
      <c r="AQ141" s="548" t="str">
        <f t="shared" si="24"/>
        <v/>
      </c>
      <c r="AR141" s="548" t="str">
        <f t="shared" si="24"/>
        <v/>
      </c>
      <c r="AS141" s="548" t="str">
        <f t="shared" si="24"/>
        <v/>
      </c>
      <c r="AT141" s="548" t="str">
        <f t="shared" si="24"/>
        <v/>
      </c>
      <c r="AU141" s="548" t="str">
        <f t="shared" si="24"/>
        <v/>
      </c>
      <c r="AV141" s="548" t="str">
        <f t="shared" si="24"/>
        <v/>
      </c>
      <c r="AW141" s="548" t="str">
        <f t="shared" si="24"/>
        <v/>
      </c>
      <c r="AX141" s="548" t="str">
        <f t="shared" si="24"/>
        <v/>
      </c>
      <c r="AY141" s="548" t="str">
        <f t="shared" si="24"/>
        <v/>
      </c>
      <c r="AZ141" s="548" t="str">
        <f t="shared" si="24"/>
        <v/>
      </c>
      <c r="BA141" s="548" t="str">
        <f t="shared" si="24"/>
        <v/>
      </c>
      <c r="BB141" s="548" t="str">
        <f t="shared" si="24"/>
        <v/>
      </c>
      <c r="BC141" s="548" t="str">
        <f t="shared" si="24"/>
        <v/>
      </c>
      <c r="BD141" s="548" t="str">
        <f t="shared" si="24"/>
        <v/>
      </c>
      <c r="BE141" s="548" t="str">
        <f t="shared" si="24"/>
        <v/>
      </c>
      <c r="BF141" s="548" t="str">
        <f t="shared" si="24"/>
        <v/>
      </c>
      <c r="BG141" s="548" t="str">
        <f t="shared" si="24"/>
        <v/>
      </c>
      <c r="BH141" s="548" t="str">
        <f t="shared" si="24"/>
        <v/>
      </c>
      <c r="BI141" s="548" t="str">
        <f t="shared" si="24"/>
        <v/>
      </c>
      <c r="BJ141" s="548" t="str">
        <f t="shared" si="24"/>
        <v/>
      </c>
      <c r="BK141" s="548" t="str">
        <f t="shared" si="24"/>
        <v/>
      </c>
      <c r="BL141" s="548" t="str">
        <f t="shared" si="24"/>
        <v/>
      </c>
      <c r="BM141" s="56" t="str">
        <f t="shared" si="24"/>
        <v/>
      </c>
    </row>
    <row r="142" spans="2:65" s="1" customFormat="1" x14ac:dyDescent="0.25">
      <c r="B142" s="547" t="str">
        <f>B110</f>
        <v xml:space="preserve">Other Source </v>
      </c>
      <c r="D142" s="20">
        <f>D110</f>
        <v>0</v>
      </c>
      <c r="E142" s="187">
        <f>IF(SUM(F142:BM142)=D142,1,0)</f>
        <v>1</v>
      </c>
      <c r="F142" s="548">
        <f>IF(F116=$E$110,$D$110,0)</f>
        <v>0</v>
      </c>
      <c r="G142" s="548">
        <f>IF(G116="","",IF(G116=$E$110,$D$110,0))</f>
        <v>0</v>
      </c>
      <c r="H142" s="548">
        <f t="shared" ref="H142:BM142" si="25">IF(H116="","",IF(H116=$E$110,$D$110,0))</f>
        <v>0</v>
      </c>
      <c r="I142" s="548">
        <f t="shared" si="25"/>
        <v>0</v>
      </c>
      <c r="J142" s="548">
        <f t="shared" si="25"/>
        <v>0</v>
      </c>
      <c r="K142" s="548">
        <f t="shared" si="25"/>
        <v>0</v>
      </c>
      <c r="L142" s="548">
        <f t="shared" si="25"/>
        <v>0</v>
      </c>
      <c r="M142" s="548">
        <f t="shared" si="25"/>
        <v>0</v>
      </c>
      <c r="N142" s="548">
        <f t="shared" si="25"/>
        <v>0</v>
      </c>
      <c r="O142" s="548">
        <f t="shared" si="25"/>
        <v>0</v>
      </c>
      <c r="P142" s="548">
        <f t="shared" si="25"/>
        <v>0</v>
      </c>
      <c r="Q142" s="548">
        <f t="shared" si="25"/>
        <v>0</v>
      </c>
      <c r="R142" s="548">
        <f t="shared" si="25"/>
        <v>0</v>
      </c>
      <c r="S142" s="548">
        <f t="shared" si="25"/>
        <v>0</v>
      </c>
      <c r="T142" s="548">
        <f t="shared" si="25"/>
        <v>0</v>
      </c>
      <c r="U142" s="548">
        <f t="shared" si="25"/>
        <v>0</v>
      </c>
      <c r="V142" s="548">
        <f t="shared" si="25"/>
        <v>0</v>
      </c>
      <c r="W142" s="548">
        <f t="shared" si="25"/>
        <v>0</v>
      </c>
      <c r="X142" s="548">
        <f t="shared" si="25"/>
        <v>0</v>
      </c>
      <c r="Y142" s="548">
        <f t="shared" si="25"/>
        <v>0</v>
      </c>
      <c r="Z142" s="548">
        <f t="shared" si="25"/>
        <v>0</v>
      </c>
      <c r="AA142" s="548">
        <f t="shared" si="25"/>
        <v>0</v>
      </c>
      <c r="AB142" s="548">
        <f t="shared" si="25"/>
        <v>0</v>
      </c>
      <c r="AC142" s="548">
        <f t="shared" si="25"/>
        <v>0</v>
      </c>
      <c r="AD142" s="548">
        <f t="shared" si="25"/>
        <v>0</v>
      </c>
      <c r="AE142" s="548">
        <f t="shared" si="25"/>
        <v>0</v>
      </c>
      <c r="AF142" s="548">
        <f t="shared" si="25"/>
        <v>0</v>
      </c>
      <c r="AG142" s="548">
        <f t="shared" si="25"/>
        <v>0</v>
      </c>
      <c r="AH142" s="548">
        <f t="shared" si="25"/>
        <v>0</v>
      </c>
      <c r="AI142" s="548">
        <f t="shared" si="25"/>
        <v>0</v>
      </c>
      <c r="AJ142" s="548">
        <f t="shared" si="25"/>
        <v>0</v>
      </c>
      <c r="AK142" s="548">
        <f t="shared" si="25"/>
        <v>0</v>
      </c>
      <c r="AL142" s="548">
        <f t="shared" si="25"/>
        <v>0</v>
      </c>
      <c r="AM142" s="548">
        <f t="shared" si="25"/>
        <v>0</v>
      </c>
      <c r="AN142" s="548">
        <f t="shared" si="25"/>
        <v>0</v>
      </c>
      <c r="AO142" s="548">
        <f t="shared" si="25"/>
        <v>0</v>
      </c>
      <c r="AP142" s="548">
        <f t="shared" si="25"/>
        <v>0</v>
      </c>
      <c r="AQ142" s="548" t="str">
        <f t="shared" si="25"/>
        <v/>
      </c>
      <c r="AR142" s="548" t="str">
        <f t="shared" si="25"/>
        <v/>
      </c>
      <c r="AS142" s="548" t="str">
        <f t="shared" si="25"/>
        <v/>
      </c>
      <c r="AT142" s="548" t="str">
        <f t="shared" si="25"/>
        <v/>
      </c>
      <c r="AU142" s="548" t="str">
        <f t="shared" si="25"/>
        <v/>
      </c>
      <c r="AV142" s="548" t="str">
        <f t="shared" si="25"/>
        <v/>
      </c>
      <c r="AW142" s="548" t="str">
        <f t="shared" si="25"/>
        <v/>
      </c>
      <c r="AX142" s="548" t="str">
        <f t="shared" si="25"/>
        <v/>
      </c>
      <c r="AY142" s="548" t="str">
        <f t="shared" si="25"/>
        <v/>
      </c>
      <c r="AZ142" s="548" t="str">
        <f t="shared" si="25"/>
        <v/>
      </c>
      <c r="BA142" s="548" t="str">
        <f t="shared" si="25"/>
        <v/>
      </c>
      <c r="BB142" s="548" t="str">
        <f t="shared" si="25"/>
        <v/>
      </c>
      <c r="BC142" s="548" t="str">
        <f t="shared" si="25"/>
        <v/>
      </c>
      <c r="BD142" s="548" t="str">
        <f t="shared" si="25"/>
        <v/>
      </c>
      <c r="BE142" s="548" t="str">
        <f t="shared" si="25"/>
        <v/>
      </c>
      <c r="BF142" s="548" t="str">
        <f t="shared" si="25"/>
        <v/>
      </c>
      <c r="BG142" s="548" t="str">
        <f t="shared" si="25"/>
        <v/>
      </c>
      <c r="BH142" s="548" t="str">
        <f t="shared" si="25"/>
        <v/>
      </c>
      <c r="BI142" s="548" t="str">
        <f t="shared" si="25"/>
        <v/>
      </c>
      <c r="BJ142" s="548" t="str">
        <f t="shared" si="25"/>
        <v/>
      </c>
      <c r="BK142" s="548" t="str">
        <f t="shared" si="25"/>
        <v/>
      </c>
      <c r="BL142" s="548" t="str">
        <f t="shared" si="25"/>
        <v/>
      </c>
      <c r="BM142" s="56" t="str">
        <f t="shared" si="25"/>
        <v/>
      </c>
    </row>
    <row r="143" spans="2:65" s="1" customFormat="1" x14ac:dyDescent="0.25">
      <c r="B143" s="42" t="s">
        <v>351</v>
      </c>
      <c r="D143" s="20"/>
      <c r="E143" s="187"/>
      <c r="F143" s="548">
        <f>SUM(F133:F142)</f>
        <v>0</v>
      </c>
      <c r="G143" s="548">
        <f>IF(G116="","",SUM(G133:G142))</f>
        <v>0</v>
      </c>
      <c r="H143" s="548">
        <f t="shared" ref="H143:BM143" si="26">IF(H116="","",SUM(H133:H142))</f>
        <v>0</v>
      </c>
      <c r="I143" s="548">
        <f t="shared" si="26"/>
        <v>0</v>
      </c>
      <c r="J143" s="548">
        <f t="shared" si="26"/>
        <v>0</v>
      </c>
      <c r="K143" s="548">
        <f t="shared" si="26"/>
        <v>0</v>
      </c>
      <c r="L143" s="548">
        <f t="shared" si="26"/>
        <v>0</v>
      </c>
      <c r="M143" s="548">
        <f t="shared" si="26"/>
        <v>104244.1875</v>
      </c>
      <c r="N143" s="548">
        <f t="shared" si="26"/>
        <v>104244.1875</v>
      </c>
      <c r="O143" s="548">
        <f t="shared" si="26"/>
        <v>104244.1875</v>
      </c>
      <c r="P143" s="548">
        <f t="shared" si="26"/>
        <v>104244.1875</v>
      </c>
      <c r="Q143" s="548">
        <f t="shared" si="26"/>
        <v>104244.1875</v>
      </c>
      <c r="R143" s="548">
        <f t="shared" si="26"/>
        <v>104244.1875</v>
      </c>
      <c r="S143" s="548">
        <f t="shared" si="26"/>
        <v>104244.1875</v>
      </c>
      <c r="T143" s="548">
        <f t="shared" si="26"/>
        <v>104244.1875</v>
      </c>
      <c r="U143" s="548">
        <f t="shared" si="26"/>
        <v>104244.1875</v>
      </c>
      <c r="V143" s="548">
        <f t="shared" si="26"/>
        <v>540390.1875</v>
      </c>
      <c r="W143" s="548">
        <f t="shared" si="26"/>
        <v>685772.1875</v>
      </c>
      <c r="X143" s="548">
        <f t="shared" si="26"/>
        <v>104244.1875</v>
      </c>
      <c r="Y143" s="548">
        <f t="shared" si="26"/>
        <v>0</v>
      </c>
      <c r="Z143" s="548">
        <f t="shared" si="26"/>
        <v>0</v>
      </c>
      <c r="AA143" s="548">
        <f t="shared" si="26"/>
        <v>0</v>
      </c>
      <c r="AB143" s="548">
        <f t="shared" si="26"/>
        <v>0</v>
      </c>
      <c r="AC143" s="548">
        <f t="shared" si="26"/>
        <v>385150.5</v>
      </c>
      <c r="AD143" s="548">
        <f t="shared" si="26"/>
        <v>513534</v>
      </c>
      <c r="AE143" s="548">
        <f t="shared" si="26"/>
        <v>0</v>
      </c>
      <c r="AF143" s="548">
        <f t="shared" si="26"/>
        <v>429633.75000000006</v>
      </c>
      <c r="AG143" s="548">
        <f t="shared" si="26"/>
        <v>572845.00000000012</v>
      </c>
      <c r="AH143" s="548">
        <f t="shared" si="26"/>
        <v>0</v>
      </c>
      <c r="AI143" s="548">
        <f t="shared" si="26"/>
        <v>0</v>
      </c>
      <c r="AJ143" s="548">
        <f t="shared" si="26"/>
        <v>0</v>
      </c>
      <c r="AK143" s="548">
        <f t="shared" si="26"/>
        <v>0</v>
      </c>
      <c r="AL143" s="548">
        <f t="shared" si="26"/>
        <v>0</v>
      </c>
      <c r="AM143" s="548">
        <f t="shared" si="26"/>
        <v>0</v>
      </c>
      <c r="AN143" s="548">
        <f t="shared" si="26"/>
        <v>0</v>
      </c>
      <c r="AO143" s="548">
        <f t="shared" si="26"/>
        <v>0</v>
      </c>
      <c r="AP143" s="548">
        <f t="shared" si="26"/>
        <v>0</v>
      </c>
      <c r="AQ143" s="548" t="str">
        <f t="shared" si="26"/>
        <v/>
      </c>
      <c r="AR143" s="548" t="str">
        <f t="shared" si="26"/>
        <v/>
      </c>
      <c r="AS143" s="548" t="str">
        <f t="shared" si="26"/>
        <v/>
      </c>
      <c r="AT143" s="548" t="str">
        <f t="shared" si="26"/>
        <v/>
      </c>
      <c r="AU143" s="548" t="str">
        <f t="shared" si="26"/>
        <v/>
      </c>
      <c r="AV143" s="548" t="str">
        <f t="shared" si="26"/>
        <v/>
      </c>
      <c r="AW143" s="548" t="str">
        <f t="shared" si="26"/>
        <v/>
      </c>
      <c r="AX143" s="548" t="str">
        <f t="shared" si="26"/>
        <v/>
      </c>
      <c r="AY143" s="548" t="str">
        <f t="shared" si="26"/>
        <v/>
      </c>
      <c r="AZ143" s="548" t="str">
        <f t="shared" si="26"/>
        <v/>
      </c>
      <c r="BA143" s="548" t="str">
        <f t="shared" si="26"/>
        <v/>
      </c>
      <c r="BB143" s="548" t="str">
        <f t="shared" si="26"/>
        <v/>
      </c>
      <c r="BC143" s="548" t="str">
        <f t="shared" si="26"/>
        <v/>
      </c>
      <c r="BD143" s="548" t="str">
        <f t="shared" si="26"/>
        <v/>
      </c>
      <c r="BE143" s="548" t="str">
        <f t="shared" si="26"/>
        <v/>
      </c>
      <c r="BF143" s="548" t="str">
        <f t="shared" si="26"/>
        <v/>
      </c>
      <c r="BG143" s="548" t="str">
        <f t="shared" si="26"/>
        <v/>
      </c>
      <c r="BH143" s="548" t="str">
        <f t="shared" si="26"/>
        <v/>
      </c>
      <c r="BI143" s="548" t="str">
        <f t="shared" si="26"/>
        <v/>
      </c>
      <c r="BJ143" s="548" t="str">
        <f t="shared" si="26"/>
        <v/>
      </c>
      <c r="BK143" s="548" t="str">
        <f t="shared" si="26"/>
        <v/>
      </c>
      <c r="BL143" s="548" t="str">
        <f t="shared" si="26"/>
        <v/>
      </c>
      <c r="BM143" s="56" t="str">
        <f t="shared" si="26"/>
        <v/>
      </c>
    </row>
    <row r="144" spans="2:65" s="1" customFormat="1" x14ac:dyDescent="0.25">
      <c r="B144" s="560" t="s">
        <v>112</v>
      </c>
      <c r="C144" s="12"/>
      <c r="D144" s="360"/>
      <c r="E144" s="414"/>
      <c r="F144" s="561">
        <f>IF(F116="","",F131+SUM(F133:F136)+SUM(F138:F142))</f>
        <v>0</v>
      </c>
      <c r="G144" s="561">
        <f>IF(G116="","",G131+SUM(G133:G136)+SUM(G138:G142))</f>
        <v>0</v>
      </c>
      <c r="H144" s="561">
        <f t="shared" ref="H144:BM144" si="27">IF(H116="","",H131+SUM(H133:H136)+SUM(H138:H142))</f>
        <v>0</v>
      </c>
      <c r="I144" s="561">
        <f t="shared" si="27"/>
        <v>0</v>
      </c>
      <c r="J144" s="561">
        <f t="shared" si="27"/>
        <v>0</v>
      </c>
      <c r="K144" s="561">
        <f t="shared" si="27"/>
        <v>0</v>
      </c>
      <c r="L144" s="561">
        <f t="shared" si="27"/>
        <v>0</v>
      </c>
      <c r="M144" s="561">
        <f>IF(M116="","",M131+SUM(M133:M136)+SUM(M138:M142))</f>
        <v>104244.1875</v>
      </c>
      <c r="N144" s="561">
        <f t="shared" si="27"/>
        <v>104244.1875</v>
      </c>
      <c r="O144" s="561">
        <f t="shared" si="27"/>
        <v>104244.1875</v>
      </c>
      <c r="P144" s="561">
        <f t="shared" si="27"/>
        <v>104244.1875</v>
      </c>
      <c r="Q144" s="561">
        <f t="shared" si="27"/>
        <v>104244.1875</v>
      </c>
      <c r="R144" s="561">
        <f t="shared" si="27"/>
        <v>104244.1875</v>
      </c>
      <c r="S144" s="561">
        <f t="shared" si="27"/>
        <v>104244.1875</v>
      </c>
      <c r="T144" s="561">
        <f t="shared" si="27"/>
        <v>104244.1875</v>
      </c>
      <c r="U144" s="561">
        <f t="shared" si="27"/>
        <v>104244.1875</v>
      </c>
      <c r="V144" s="561">
        <f t="shared" si="27"/>
        <v>540390.1875</v>
      </c>
      <c r="W144" s="561">
        <f t="shared" si="27"/>
        <v>685772.1875</v>
      </c>
      <c r="X144" s="561">
        <f t="shared" si="27"/>
        <v>2006219.1875000002</v>
      </c>
      <c r="Y144" s="561">
        <f t="shared" si="27"/>
        <v>1975</v>
      </c>
      <c r="Z144" s="561">
        <f t="shared" si="27"/>
        <v>1975</v>
      </c>
      <c r="AA144" s="561">
        <f t="shared" si="27"/>
        <v>1975</v>
      </c>
      <c r="AB144" s="561">
        <f t="shared" si="27"/>
        <v>1975</v>
      </c>
      <c r="AC144" s="561">
        <f t="shared" si="27"/>
        <v>387125.5</v>
      </c>
      <c r="AD144" s="561">
        <f t="shared" si="27"/>
        <v>515509</v>
      </c>
      <c r="AE144" s="561">
        <f t="shared" si="27"/>
        <v>1760196.7391304348</v>
      </c>
      <c r="AF144" s="561">
        <f t="shared" si="27"/>
        <v>433308.75000000006</v>
      </c>
      <c r="AG144" s="561">
        <f t="shared" si="27"/>
        <v>576520.00000000012</v>
      </c>
      <c r="AH144" s="561">
        <f t="shared" si="27"/>
        <v>1831511.9565217393</v>
      </c>
      <c r="AI144" s="561">
        <f t="shared" si="27"/>
        <v>5425</v>
      </c>
      <c r="AJ144" s="561">
        <f t="shared" si="27"/>
        <v>5425</v>
      </c>
      <c r="AK144" s="561">
        <f t="shared" si="27"/>
        <v>5425</v>
      </c>
      <c r="AL144" s="561">
        <f t="shared" si="27"/>
        <v>5425</v>
      </c>
      <c r="AM144" s="561">
        <f t="shared" si="27"/>
        <v>5425</v>
      </c>
      <c r="AN144" s="561">
        <f t="shared" si="27"/>
        <v>5425</v>
      </c>
      <c r="AO144" s="561">
        <f t="shared" si="27"/>
        <v>5425</v>
      </c>
      <c r="AP144" s="561">
        <f t="shared" si="27"/>
        <v>5425</v>
      </c>
      <c r="AQ144" s="561" t="str">
        <f t="shared" si="27"/>
        <v/>
      </c>
      <c r="AR144" s="561" t="str">
        <f t="shared" si="27"/>
        <v/>
      </c>
      <c r="AS144" s="561" t="str">
        <f>IF(AS116="","",AS131+SUM(AS133:AS136)+SUM(AS138:AS142))</f>
        <v/>
      </c>
      <c r="AT144" s="561" t="str">
        <f t="shared" si="27"/>
        <v/>
      </c>
      <c r="AU144" s="561" t="str">
        <f t="shared" si="27"/>
        <v/>
      </c>
      <c r="AV144" s="561" t="str">
        <f t="shared" si="27"/>
        <v/>
      </c>
      <c r="AW144" s="561" t="str">
        <f t="shared" si="27"/>
        <v/>
      </c>
      <c r="AX144" s="561" t="str">
        <f t="shared" si="27"/>
        <v/>
      </c>
      <c r="AY144" s="561" t="str">
        <f t="shared" si="27"/>
        <v/>
      </c>
      <c r="AZ144" s="561" t="str">
        <f t="shared" si="27"/>
        <v/>
      </c>
      <c r="BA144" s="561" t="str">
        <f t="shared" si="27"/>
        <v/>
      </c>
      <c r="BB144" s="561" t="str">
        <f t="shared" si="27"/>
        <v/>
      </c>
      <c r="BC144" s="561" t="str">
        <f t="shared" si="27"/>
        <v/>
      </c>
      <c r="BD144" s="561" t="str">
        <f t="shared" si="27"/>
        <v/>
      </c>
      <c r="BE144" s="561" t="str">
        <f t="shared" si="27"/>
        <v/>
      </c>
      <c r="BF144" s="561" t="str">
        <f t="shared" si="27"/>
        <v/>
      </c>
      <c r="BG144" s="561" t="str">
        <f t="shared" si="27"/>
        <v/>
      </c>
      <c r="BH144" s="561" t="str">
        <f t="shared" si="27"/>
        <v/>
      </c>
      <c r="BI144" s="561" t="str">
        <f t="shared" si="27"/>
        <v/>
      </c>
      <c r="BJ144" s="561" t="str">
        <f t="shared" si="27"/>
        <v/>
      </c>
      <c r="BK144" s="561" t="str">
        <f t="shared" si="27"/>
        <v/>
      </c>
      <c r="BL144" s="561" t="str">
        <f t="shared" si="27"/>
        <v/>
      </c>
      <c r="BM144" s="562" t="str">
        <f t="shared" si="27"/>
        <v/>
      </c>
    </row>
    <row r="145" spans="2:65" s="1" customFormat="1" x14ac:dyDescent="0.25">
      <c r="B145" s="563" t="s">
        <v>350</v>
      </c>
      <c r="C145" s="382"/>
      <c r="D145" s="296"/>
      <c r="E145" s="296"/>
      <c r="F145" s="296"/>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6"/>
      <c r="BJ145" s="296"/>
      <c r="BK145" s="296"/>
      <c r="BL145" s="296"/>
      <c r="BM145" s="103"/>
    </row>
    <row r="146" spans="2:65" s="1" customFormat="1" x14ac:dyDescent="0.25">
      <c r="B146" s="543" t="s">
        <v>116</v>
      </c>
      <c r="C146" s="544"/>
      <c r="D146" s="545"/>
      <c r="E146" s="545"/>
      <c r="F146" s="545"/>
      <c r="G146" s="545"/>
      <c r="H146" s="545"/>
      <c r="I146" s="545"/>
      <c r="J146" s="545"/>
      <c r="K146" s="545"/>
      <c r="L146" s="545"/>
      <c r="M146" s="545"/>
      <c r="N146" s="545"/>
      <c r="O146" s="545"/>
      <c r="P146" s="545"/>
      <c r="Q146" s="545"/>
      <c r="R146" s="545"/>
      <c r="S146" s="545"/>
      <c r="T146" s="545"/>
      <c r="U146" s="545"/>
      <c r="V146" s="545"/>
      <c r="W146" s="545"/>
      <c r="X146" s="545"/>
      <c r="Y146" s="545"/>
      <c r="Z146" s="545"/>
      <c r="AA146" s="545"/>
      <c r="AB146" s="545"/>
      <c r="AC146" s="545"/>
      <c r="AD146" s="545"/>
      <c r="AE146" s="545"/>
      <c r="AF146" s="545"/>
      <c r="AG146" s="545"/>
      <c r="AH146" s="545"/>
      <c r="AI146" s="545"/>
      <c r="AJ146" s="545"/>
      <c r="AK146" s="545"/>
      <c r="AL146" s="545"/>
      <c r="AM146" s="545"/>
      <c r="AN146" s="545"/>
      <c r="AO146" s="545"/>
      <c r="AP146" s="545"/>
      <c r="AQ146" s="545"/>
      <c r="AR146" s="545"/>
      <c r="AS146" s="545"/>
      <c r="AT146" s="545"/>
      <c r="AU146" s="545"/>
      <c r="AV146" s="545"/>
      <c r="AW146" s="545"/>
      <c r="AX146" s="545"/>
      <c r="AY146" s="545"/>
      <c r="AZ146" s="545"/>
      <c r="BA146" s="545"/>
      <c r="BB146" s="545"/>
      <c r="BC146" s="545"/>
      <c r="BD146" s="545"/>
      <c r="BE146" s="545"/>
      <c r="BF146" s="545"/>
      <c r="BG146" s="545"/>
      <c r="BH146" s="545"/>
      <c r="BI146" s="545"/>
      <c r="BJ146" s="545"/>
      <c r="BK146" s="545"/>
      <c r="BL146" s="545"/>
      <c r="BM146" s="546"/>
    </row>
    <row r="147" spans="2:65" s="1" customFormat="1" x14ac:dyDescent="0.25">
      <c r="B147" s="547" t="str">
        <f>B55</f>
        <v xml:space="preserve">Settlement of Land Purchase </v>
      </c>
      <c r="C147" s="187"/>
      <c r="D147" s="20">
        <f>'Detailed Feasibility Inputs'!$F$69</f>
        <v>2010000</v>
      </c>
      <c r="E147" s="187">
        <f>IF(SUM(F147:BM147)=D147,1,0)</f>
        <v>1</v>
      </c>
      <c r="F147" s="548">
        <f>IF(F116='Detailed Feasibility'!$C$55,'Detailed Feasibility Inputs'!$F$69,0)</f>
        <v>2010000</v>
      </c>
      <c r="G147" s="548">
        <f>IF(G$116="","",IF(G$116="","",IF(G116='Detailed Feasibility'!$C$55,'Detailed Feasibility Inputs'!$F$69,0)))</f>
        <v>0</v>
      </c>
      <c r="H147" s="548">
        <f>IF(H$116="","",IF(H$116="","",IF(H116='Detailed Feasibility'!$C$55,'Detailed Feasibility Inputs'!$F$69,0)))</f>
        <v>0</v>
      </c>
      <c r="I147" s="548">
        <f>IF(I$116="","",IF(I$116="","",IF(I116='Detailed Feasibility'!$C$55,'Detailed Feasibility Inputs'!$F$69,0)))</f>
        <v>0</v>
      </c>
      <c r="J147" s="548">
        <f>IF(J$116="","",IF(J$116="","",IF(J116='Detailed Feasibility'!$C$55,'Detailed Feasibility Inputs'!$F$69,0)))</f>
        <v>0</v>
      </c>
      <c r="K147" s="548">
        <f>IF(K$116="","",IF(K$116="","",IF(K116='Detailed Feasibility'!$C$55,'Detailed Feasibility Inputs'!$F$69,0)))</f>
        <v>0</v>
      </c>
      <c r="L147" s="548">
        <f>IF(L$116="","",IF(L$116="","",IF(L116='Detailed Feasibility'!$C$55,'Detailed Feasibility Inputs'!$F$69,0)))</f>
        <v>0</v>
      </c>
      <c r="M147" s="548">
        <f>IF(M$116="","",IF(M$116="","",IF(M116='Detailed Feasibility'!$C$55,'Detailed Feasibility Inputs'!$F$69,0)))</f>
        <v>0</v>
      </c>
      <c r="N147" s="548">
        <f>IF(N$116="","",IF(N$116="","",IF(N116='Detailed Feasibility'!$C$55,'Detailed Feasibility Inputs'!$F$69,0)))</f>
        <v>0</v>
      </c>
      <c r="O147" s="548">
        <f>IF(O$116="","",IF(O$116="","",IF(O116='Detailed Feasibility'!$C$55,'Detailed Feasibility Inputs'!$F$69,0)))</f>
        <v>0</v>
      </c>
      <c r="P147" s="548">
        <f>IF(P$116="","",IF(P$116="","",IF(P116='Detailed Feasibility'!$C$55,'Detailed Feasibility Inputs'!$F$69,0)))</f>
        <v>0</v>
      </c>
      <c r="Q147" s="548">
        <f>IF(Q$116="","",IF(Q$116="","",IF(Q116='Detailed Feasibility'!$C$55,'Detailed Feasibility Inputs'!$F$69,0)))</f>
        <v>0</v>
      </c>
      <c r="R147" s="548">
        <f>IF(R$116="","",IF(R$116="","",IF(R116='Detailed Feasibility'!$C$55,'Detailed Feasibility Inputs'!$F$69,0)))</f>
        <v>0</v>
      </c>
      <c r="S147" s="548">
        <f>IF(S$116="","",IF(S$116="","",IF(S116='Detailed Feasibility'!$C$55,'Detailed Feasibility Inputs'!$F$69,0)))</f>
        <v>0</v>
      </c>
      <c r="T147" s="548">
        <f>IF(T$116="","",IF(T$116="","",IF(T116='Detailed Feasibility'!$C$55,'Detailed Feasibility Inputs'!$F$69,0)))</f>
        <v>0</v>
      </c>
      <c r="U147" s="548">
        <f>IF(U$116="","",IF(U$116="","",IF(U116='Detailed Feasibility'!$C$55,'Detailed Feasibility Inputs'!$F$69,0)))</f>
        <v>0</v>
      </c>
      <c r="V147" s="548">
        <f>IF(V$116="","",IF(V$116="","",IF(V116='Detailed Feasibility'!$C$55,'Detailed Feasibility Inputs'!$F$69,0)))</f>
        <v>0</v>
      </c>
      <c r="W147" s="548">
        <f>IF(W$116="","",IF(W$116="","",IF(W116='Detailed Feasibility'!$C$55,'Detailed Feasibility Inputs'!$F$69,0)))</f>
        <v>0</v>
      </c>
      <c r="X147" s="548">
        <f>IF(X$116="","",IF(X$116="","",IF(X116='Detailed Feasibility'!$C$55,'Detailed Feasibility Inputs'!$F$69,0)))</f>
        <v>0</v>
      </c>
      <c r="Y147" s="548">
        <f>IF(Y$116="","",IF(Y$116="","",IF(Y116='Detailed Feasibility'!$C$55,'Detailed Feasibility Inputs'!$F$69,0)))</f>
        <v>0</v>
      </c>
      <c r="Z147" s="548">
        <f>IF(Z$116="","",IF(Z$116="","",IF(Z116='Detailed Feasibility'!$C$55,'Detailed Feasibility Inputs'!$F$69,0)))</f>
        <v>0</v>
      </c>
      <c r="AA147" s="548">
        <f>IF(AA$116="","",IF(AA$116="","",IF(AA116='Detailed Feasibility'!$C$55,'Detailed Feasibility Inputs'!$F$69,0)))</f>
        <v>0</v>
      </c>
      <c r="AB147" s="548">
        <f>IF(AB$116="","",IF(AB$116="","",IF(AB116='Detailed Feasibility'!$C$55,'Detailed Feasibility Inputs'!$F$69,0)))</f>
        <v>0</v>
      </c>
      <c r="AC147" s="548">
        <f>IF(AC$116="","",IF(AC$116="","",IF(AC116='Detailed Feasibility'!$C$55,'Detailed Feasibility Inputs'!$F$69,0)))</f>
        <v>0</v>
      </c>
      <c r="AD147" s="548">
        <f>IF(AD$116="","",IF(AD$116="","",IF(AD116='Detailed Feasibility'!$C$55,'Detailed Feasibility Inputs'!$F$69,0)))</f>
        <v>0</v>
      </c>
      <c r="AE147" s="548">
        <f>IF(AE$116="","",IF(AE$116="","",IF(AE116='Detailed Feasibility'!$C$55,'Detailed Feasibility Inputs'!$F$69,0)))</f>
        <v>0</v>
      </c>
      <c r="AF147" s="548">
        <f>IF(AF$116="","",IF(AF$116="","",IF(AF116='Detailed Feasibility'!$C$55,'Detailed Feasibility Inputs'!$F$69,0)))</f>
        <v>0</v>
      </c>
      <c r="AG147" s="548">
        <f>IF(AG$116="","",IF(AG$116="","",IF(AG116='Detailed Feasibility'!$C$55,'Detailed Feasibility Inputs'!$F$69,0)))</f>
        <v>0</v>
      </c>
      <c r="AH147" s="548">
        <f>IF(AH$116="","",IF(AH$116="","",IF(AH116='Detailed Feasibility'!$C$55,'Detailed Feasibility Inputs'!$F$69,0)))</f>
        <v>0</v>
      </c>
      <c r="AI147" s="548">
        <f>IF(AI$116="","",IF(AI$116="","",IF(AI116='Detailed Feasibility'!$C$55,'Detailed Feasibility Inputs'!$F$69,0)))</f>
        <v>0</v>
      </c>
      <c r="AJ147" s="548">
        <f>IF(AJ$116="","",IF(AJ$116="","",IF(AJ116='Detailed Feasibility'!$C$55,'Detailed Feasibility Inputs'!$F$69,0)))</f>
        <v>0</v>
      </c>
      <c r="AK147" s="548">
        <f>IF(AK$116="","",IF(AK$116="","",IF(AK116='Detailed Feasibility'!$C$55,'Detailed Feasibility Inputs'!$F$69,0)))</f>
        <v>0</v>
      </c>
      <c r="AL147" s="548">
        <f>IF(AL$116="","",IF(AL$116="","",IF(AL116='Detailed Feasibility'!$C$55,'Detailed Feasibility Inputs'!$F$69,0)))</f>
        <v>0</v>
      </c>
      <c r="AM147" s="548">
        <f>IF(AM$116="","",IF(AM$116="","",IF(AM116='Detailed Feasibility'!$C$55,'Detailed Feasibility Inputs'!$F$69,0)))</f>
        <v>0</v>
      </c>
      <c r="AN147" s="548">
        <f>IF(AN$116="","",IF(AN$116="","",IF(AN116='Detailed Feasibility'!$C$55,'Detailed Feasibility Inputs'!$F$69,0)))</f>
        <v>0</v>
      </c>
      <c r="AO147" s="548">
        <f>IF(AO$116="","",IF(AO$116="","",IF(AO116='Detailed Feasibility'!$C$55,'Detailed Feasibility Inputs'!$F$69,0)))</f>
        <v>0</v>
      </c>
      <c r="AP147" s="548">
        <f>IF(AP$116="","",IF(AP$116="","",IF(AP116='Detailed Feasibility'!$C$55,'Detailed Feasibility Inputs'!$F$69,0)))</f>
        <v>0</v>
      </c>
      <c r="AQ147" s="548" t="str">
        <f>IF(AQ$116="","",IF(AQ$116="","",IF(AQ116='Detailed Feasibility'!$C$55,'Detailed Feasibility Inputs'!$F$69,0)))</f>
        <v/>
      </c>
      <c r="AR147" s="548" t="str">
        <f>IF(AR$116="","",IF(AR$116="","",IF(AR116='Detailed Feasibility'!$C$55,'Detailed Feasibility Inputs'!$F$69,0)))</f>
        <v/>
      </c>
      <c r="AS147" s="548" t="str">
        <f>IF(AS$116="","",IF(AS$116="","",IF(AS116='Detailed Feasibility'!$C$55,'Detailed Feasibility Inputs'!$F$69,0)))</f>
        <v/>
      </c>
      <c r="AT147" s="548" t="str">
        <f>IF(AT$116="","",IF(AT$116="","",IF(AT116='Detailed Feasibility'!$C$55,'Detailed Feasibility Inputs'!$F$69,0)))</f>
        <v/>
      </c>
      <c r="AU147" s="548" t="str">
        <f>IF(AU$116="","",IF(AU$116="","",IF(AU116='Detailed Feasibility'!$C$55,'Detailed Feasibility Inputs'!$F$69,0)))</f>
        <v/>
      </c>
      <c r="AV147" s="548" t="str">
        <f>IF(AV$116="","",IF(AV$116="","",IF(AV116='Detailed Feasibility'!$C$55,'Detailed Feasibility Inputs'!$F$69,0)))</f>
        <v/>
      </c>
      <c r="AW147" s="548" t="str">
        <f>IF(AW$116="","",IF(AW$116="","",IF(AW116='Detailed Feasibility'!$C$55,'Detailed Feasibility Inputs'!$F$69,0)))</f>
        <v/>
      </c>
      <c r="AX147" s="548" t="str">
        <f>IF(AX$116="","",IF(AX$116="","",IF(AX116='Detailed Feasibility'!$C$55,'Detailed Feasibility Inputs'!$F$69,0)))</f>
        <v/>
      </c>
      <c r="AY147" s="548" t="str">
        <f>IF(AY$116="","",IF(AY$116="","",IF(AY116='Detailed Feasibility'!$C$55,'Detailed Feasibility Inputs'!$F$69,0)))</f>
        <v/>
      </c>
      <c r="AZ147" s="548" t="str">
        <f>IF(AZ$116="","",IF(AZ$116="","",IF(AZ116='Detailed Feasibility'!$C$55,'Detailed Feasibility Inputs'!$F$69,0)))</f>
        <v/>
      </c>
      <c r="BA147" s="548" t="str">
        <f>IF(BA$116="","",IF(BA$116="","",IF(BA116='Detailed Feasibility'!$C$55,'Detailed Feasibility Inputs'!$F$69,0)))</f>
        <v/>
      </c>
      <c r="BB147" s="548" t="str">
        <f>IF(BB$116="","",IF(BB$116="","",IF(BB116='Detailed Feasibility'!$C$55,'Detailed Feasibility Inputs'!$F$69,0)))</f>
        <v/>
      </c>
      <c r="BC147" s="548" t="str">
        <f>IF(BC$116="","",IF(BC$116="","",IF(BC116='Detailed Feasibility'!$C$55,'Detailed Feasibility Inputs'!$F$69,0)))</f>
        <v/>
      </c>
      <c r="BD147" s="548" t="str">
        <f>IF(BD$116="","",IF(BD$116="","",IF(BD116='Detailed Feasibility'!$C$55,'Detailed Feasibility Inputs'!$F$69,0)))</f>
        <v/>
      </c>
      <c r="BE147" s="548" t="str">
        <f>IF(BE$116="","",IF(BE$116="","",IF(BE116='Detailed Feasibility'!$C$55,'Detailed Feasibility Inputs'!$F$69,0)))</f>
        <v/>
      </c>
      <c r="BF147" s="548" t="str">
        <f>IF(BF$116="","",IF(BF$116="","",IF(BF116='Detailed Feasibility'!$C$55,'Detailed Feasibility Inputs'!$F$69,0)))</f>
        <v/>
      </c>
      <c r="BG147" s="548" t="str">
        <f>IF(BG$116="","",IF(BG$116="","",IF(BG116='Detailed Feasibility'!$C$55,'Detailed Feasibility Inputs'!$F$69,0)))</f>
        <v/>
      </c>
      <c r="BH147" s="548" t="str">
        <f>IF(BH$116="","",IF(BH$116="","",IF(BH116='Detailed Feasibility'!$C$55,'Detailed Feasibility Inputs'!$F$69,0)))</f>
        <v/>
      </c>
      <c r="BI147" s="548" t="str">
        <f>IF(BI$116="","",IF(BI$116="","",IF(BI116='Detailed Feasibility'!$C$55,'Detailed Feasibility Inputs'!$F$69,0)))</f>
        <v/>
      </c>
      <c r="BJ147" s="548" t="str">
        <f>IF(BJ$116="","",IF(BJ$116="","",IF(BJ116='Detailed Feasibility'!$C$55,'Detailed Feasibility Inputs'!$F$69,0)))</f>
        <v/>
      </c>
      <c r="BK147" s="548" t="str">
        <f>IF(BK$116="","",IF(BK$116="","",IF(BK116='Detailed Feasibility'!$C$55,'Detailed Feasibility Inputs'!$F$69,0)))</f>
        <v/>
      </c>
      <c r="BL147" s="548" t="str">
        <f>IF(BL$116="","",IF(BL$116="","",IF(BL116='Detailed Feasibility'!$C$55,'Detailed Feasibility Inputs'!$F$69,0)))</f>
        <v/>
      </c>
      <c r="BM147" s="56" t="str">
        <f>IF(BM$116="","",IF(BM$116="","",IF(BM116='Detailed Feasibility'!$C$55,'Detailed Feasibility Inputs'!$F$69,0)))</f>
        <v/>
      </c>
    </row>
    <row r="148" spans="2:65" s="1" customFormat="1" x14ac:dyDescent="0.25">
      <c r="B148" s="547" t="str">
        <f>B56</f>
        <v>Site Civils &amp; Infrastructure</v>
      </c>
      <c r="C148" s="187"/>
      <c r="D148" s="20">
        <f>'Detailed Feasibility Inputs'!$F$84</f>
        <v>360000</v>
      </c>
      <c r="E148" s="187">
        <f t="shared" ref="E148:E150" si="28">IF(SUM(F148:BM148)=D148,1,0)</f>
        <v>1</v>
      </c>
      <c r="F148" s="548">
        <f>IF(AND(F116&gt;='Detailed Feasibility'!$C$56,F116&lt;'Detailed Feasibility'!$D$56),('Detailed Feasibility Inputs'!$F$84/('Detailed Feasibility'!$D$56-'Detailed Feasibility'!$C$56)),0)</f>
        <v>0</v>
      </c>
      <c r="G148" s="548">
        <f>IF(G116="","",IF(AND(G116&gt;='Detailed Feasibility'!$C$56,G116&lt;'Detailed Feasibility'!$D$56),('Detailed Feasibility Inputs'!$F$84/('Detailed Feasibility'!$D$56-'Detailed Feasibility'!$C$56)),0))</f>
        <v>0</v>
      </c>
      <c r="H148" s="548">
        <f>IF(H116="","",IF(AND(H116&gt;='Detailed Feasibility'!$C$56,H116&lt;'Detailed Feasibility'!$D$56),('Detailed Feasibility Inputs'!$F$84/('Detailed Feasibility'!$D$56-'Detailed Feasibility'!$C$56)),0))</f>
        <v>0</v>
      </c>
      <c r="I148" s="548">
        <f>IF(I116="","",IF(AND(I116&gt;='Detailed Feasibility'!$C$56,I116&lt;'Detailed Feasibility'!$D$56),('Detailed Feasibility Inputs'!$F$84/('Detailed Feasibility'!$D$56-'Detailed Feasibility'!$C$56)),0))</f>
        <v>0</v>
      </c>
      <c r="J148" s="548">
        <f>IF(J116="","",IF(AND(J116&gt;='Detailed Feasibility'!$C$56,J116&lt;'Detailed Feasibility'!$D$56),('Detailed Feasibility Inputs'!$F$84/('Detailed Feasibility'!$D$56-'Detailed Feasibility'!$C$56)),0))</f>
        <v>0</v>
      </c>
      <c r="K148" s="548">
        <f>IF(K116="","",IF(AND(K116&gt;='Detailed Feasibility'!$C$56,K116&lt;'Detailed Feasibility'!$D$56),('Detailed Feasibility Inputs'!$F$84/('Detailed Feasibility'!$D$56-'Detailed Feasibility'!$C$56)),0))</f>
        <v>0</v>
      </c>
      <c r="L148" s="548">
        <f>IF(L116="","",IF(AND(L116&gt;='Detailed Feasibility'!$C$56,L116&lt;'Detailed Feasibility'!$D$56),('Detailed Feasibility Inputs'!$F$84/('Detailed Feasibility'!$D$56-'Detailed Feasibility'!$C$56)),0))</f>
        <v>0</v>
      </c>
      <c r="M148" s="548">
        <f>IF(M116="","",IF(AND(M116&gt;='Detailed Feasibility'!$C$56,M116&lt;'Detailed Feasibility'!$D$56),('Detailed Feasibility Inputs'!$F$84/('Detailed Feasibility'!$D$56-'Detailed Feasibility'!$C$56)),0))</f>
        <v>30000</v>
      </c>
      <c r="N148" s="548">
        <f>IF(N116="","",IF(AND(N116&gt;='Detailed Feasibility'!$C$56,N116&lt;'Detailed Feasibility'!$D$56),('Detailed Feasibility Inputs'!$F$84/('Detailed Feasibility'!$D$56-'Detailed Feasibility'!$C$56)),0))</f>
        <v>30000</v>
      </c>
      <c r="O148" s="548">
        <f>IF(O116="","",IF(AND(O116&gt;='Detailed Feasibility'!$C$56,O116&lt;'Detailed Feasibility'!$D$56),('Detailed Feasibility Inputs'!$F$84/('Detailed Feasibility'!$D$56-'Detailed Feasibility'!$C$56)),0))</f>
        <v>30000</v>
      </c>
      <c r="P148" s="548">
        <f>IF(P116="","",IF(AND(P116&gt;='Detailed Feasibility'!$C$56,P116&lt;'Detailed Feasibility'!$D$56),('Detailed Feasibility Inputs'!$F$84/('Detailed Feasibility'!$D$56-'Detailed Feasibility'!$C$56)),0))</f>
        <v>30000</v>
      </c>
      <c r="Q148" s="548">
        <f>IF(Q116="","",IF(AND(Q116&gt;='Detailed Feasibility'!$C$56,Q116&lt;'Detailed Feasibility'!$D$56),('Detailed Feasibility Inputs'!$F$84/('Detailed Feasibility'!$D$56-'Detailed Feasibility'!$C$56)),0))</f>
        <v>30000</v>
      </c>
      <c r="R148" s="548">
        <f>IF(R116="","",IF(AND(R116&gt;='Detailed Feasibility'!$C$56,R116&lt;'Detailed Feasibility'!$D$56),('Detailed Feasibility Inputs'!$F$84/('Detailed Feasibility'!$D$56-'Detailed Feasibility'!$C$56)),0))</f>
        <v>30000</v>
      </c>
      <c r="S148" s="548">
        <f>IF(S116="","",IF(AND(S116&gt;='Detailed Feasibility'!$C$56,S116&lt;'Detailed Feasibility'!$D$56),('Detailed Feasibility Inputs'!$F$84/('Detailed Feasibility'!$D$56-'Detailed Feasibility'!$C$56)),0))</f>
        <v>30000</v>
      </c>
      <c r="T148" s="548">
        <f>IF(T116="","",IF(AND(T116&gt;='Detailed Feasibility'!$C$56,T116&lt;'Detailed Feasibility'!$D$56),('Detailed Feasibility Inputs'!$F$84/('Detailed Feasibility'!$D$56-'Detailed Feasibility'!$C$56)),0))</f>
        <v>30000</v>
      </c>
      <c r="U148" s="548">
        <f>IF(U116="","",IF(AND(U116&gt;='Detailed Feasibility'!$C$56,U116&lt;'Detailed Feasibility'!$D$56),('Detailed Feasibility Inputs'!$F$84/('Detailed Feasibility'!$D$56-'Detailed Feasibility'!$C$56)),0))</f>
        <v>30000</v>
      </c>
      <c r="V148" s="548">
        <f>IF(V116="","",IF(AND(V116&gt;='Detailed Feasibility'!$C$56,V116&lt;'Detailed Feasibility'!$D$56),('Detailed Feasibility Inputs'!$F$84/('Detailed Feasibility'!$D$56-'Detailed Feasibility'!$C$56)),0))</f>
        <v>30000</v>
      </c>
      <c r="W148" s="548">
        <f>IF(W116="","",IF(AND(W116&gt;='Detailed Feasibility'!$C$56,W116&lt;'Detailed Feasibility'!$D$56),('Detailed Feasibility Inputs'!$F$84/('Detailed Feasibility'!$D$56-'Detailed Feasibility'!$C$56)),0))</f>
        <v>30000</v>
      </c>
      <c r="X148" s="548">
        <f>IF(X116="","",IF(AND(X116&gt;='Detailed Feasibility'!$C$56,X116&lt;'Detailed Feasibility'!$D$56),('Detailed Feasibility Inputs'!$F$84/('Detailed Feasibility'!$D$56-'Detailed Feasibility'!$C$56)),0))</f>
        <v>30000</v>
      </c>
      <c r="Y148" s="548">
        <f>IF(Y116="","",IF(AND(Y116&gt;='Detailed Feasibility'!$C$56,Y116&lt;'Detailed Feasibility'!$D$56),('Detailed Feasibility Inputs'!$F$84/('Detailed Feasibility'!$D$56-'Detailed Feasibility'!$C$56)),0))</f>
        <v>0</v>
      </c>
      <c r="Z148" s="548">
        <f>IF(Z116="","",IF(AND(Z116&gt;='Detailed Feasibility'!$C$56,Z116&lt;'Detailed Feasibility'!$D$56),('Detailed Feasibility Inputs'!$F$84/('Detailed Feasibility'!$D$56-'Detailed Feasibility'!$C$56)),0))</f>
        <v>0</v>
      </c>
      <c r="AA148" s="548">
        <f>IF(AA116="","",IF(AND(AA116&gt;='Detailed Feasibility'!$C$56,AA116&lt;'Detailed Feasibility'!$D$56),('Detailed Feasibility Inputs'!$F$84/('Detailed Feasibility'!$D$56-'Detailed Feasibility'!$C$56)),0))</f>
        <v>0</v>
      </c>
      <c r="AB148" s="548">
        <f>IF(AB116="","",IF(AND(AB116&gt;='Detailed Feasibility'!$C$56,AB116&lt;'Detailed Feasibility'!$D$56),('Detailed Feasibility Inputs'!$F$84/('Detailed Feasibility'!$D$56-'Detailed Feasibility'!$C$56)),0))</f>
        <v>0</v>
      </c>
      <c r="AC148" s="548">
        <f>IF(AC116="","",IF(AND(AC116&gt;='Detailed Feasibility'!$C$56,AC116&lt;'Detailed Feasibility'!$D$56),('Detailed Feasibility Inputs'!$F$84/('Detailed Feasibility'!$D$56-'Detailed Feasibility'!$C$56)),0))</f>
        <v>0</v>
      </c>
      <c r="AD148" s="548">
        <f>IF(AD116="","",IF(AND(AD116&gt;='Detailed Feasibility'!$C$56,AD116&lt;'Detailed Feasibility'!$D$56),('Detailed Feasibility Inputs'!$F$84/('Detailed Feasibility'!$D$56-'Detailed Feasibility'!$C$56)),0))</f>
        <v>0</v>
      </c>
      <c r="AE148" s="548">
        <f>IF(AE116="","",IF(AND(AE116&gt;='Detailed Feasibility'!$C$56,AE116&lt;'Detailed Feasibility'!$D$56),('Detailed Feasibility Inputs'!$F$84/('Detailed Feasibility'!$D$56-'Detailed Feasibility'!$C$56)),0))</f>
        <v>0</v>
      </c>
      <c r="AF148" s="548">
        <f>IF(AF116="","",IF(AND(AF116&gt;='Detailed Feasibility'!$C$56,AF116&lt;'Detailed Feasibility'!$D$56),('Detailed Feasibility Inputs'!$F$84/('Detailed Feasibility'!$D$56-'Detailed Feasibility'!$C$56)),0))</f>
        <v>0</v>
      </c>
      <c r="AG148" s="548">
        <f>IF(AG116="","",IF(AND(AG116&gt;='Detailed Feasibility'!$C$56,AG116&lt;'Detailed Feasibility'!$D$56),('Detailed Feasibility Inputs'!$F$84/('Detailed Feasibility'!$D$56-'Detailed Feasibility'!$C$56)),0))</f>
        <v>0</v>
      </c>
      <c r="AH148" s="548">
        <f>IF(AH116="","",IF(AND(AH116&gt;='Detailed Feasibility'!$C$56,AH116&lt;'Detailed Feasibility'!$D$56),('Detailed Feasibility Inputs'!$F$84/('Detailed Feasibility'!$D$56-'Detailed Feasibility'!$C$56)),0))</f>
        <v>0</v>
      </c>
      <c r="AI148" s="548">
        <f>IF(AI116="","",IF(AND(AI116&gt;='Detailed Feasibility'!$C$56,AI116&lt;'Detailed Feasibility'!$D$56),('Detailed Feasibility Inputs'!$F$84/('Detailed Feasibility'!$D$56-'Detailed Feasibility'!$C$56)),0))</f>
        <v>0</v>
      </c>
      <c r="AJ148" s="548">
        <f>IF(AJ116="","",IF(AND(AJ116&gt;='Detailed Feasibility'!$C$56,AJ116&lt;'Detailed Feasibility'!$D$56),('Detailed Feasibility Inputs'!$F$84/('Detailed Feasibility'!$D$56-'Detailed Feasibility'!$C$56)),0))</f>
        <v>0</v>
      </c>
      <c r="AK148" s="548">
        <f>IF(AK116="","",IF(AND(AK116&gt;='Detailed Feasibility'!$C$56,AK116&lt;'Detailed Feasibility'!$D$56),('Detailed Feasibility Inputs'!$F$84/('Detailed Feasibility'!$D$56-'Detailed Feasibility'!$C$56)),0))</f>
        <v>0</v>
      </c>
      <c r="AL148" s="548">
        <f>IF(AL116="","",IF(AND(AL116&gt;='Detailed Feasibility'!$C$56,AL116&lt;'Detailed Feasibility'!$D$56),('Detailed Feasibility Inputs'!$F$84/('Detailed Feasibility'!$D$56-'Detailed Feasibility'!$C$56)),0))</f>
        <v>0</v>
      </c>
      <c r="AM148" s="548">
        <f>IF(AM116="","",IF(AND(AM116&gt;='Detailed Feasibility'!$C$56,AM116&lt;'Detailed Feasibility'!$D$56),('Detailed Feasibility Inputs'!$F$84/('Detailed Feasibility'!$D$56-'Detailed Feasibility'!$C$56)),0))</f>
        <v>0</v>
      </c>
      <c r="AN148" s="548">
        <f>IF(AN116="","",IF(AND(AN116&gt;='Detailed Feasibility'!$C$56,AN116&lt;'Detailed Feasibility'!$D$56),('Detailed Feasibility Inputs'!$F$84/('Detailed Feasibility'!$D$56-'Detailed Feasibility'!$C$56)),0))</f>
        <v>0</v>
      </c>
      <c r="AO148" s="548">
        <f>IF(AO116="","",IF(AND(AO116&gt;='Detailed Feasibility'!$C$56,AO116&lt;'Detailed Feasibility'!$D$56),('Detailed Feasibility Inputs'!$F$84/('Detailed Feasibility'!$D$56-'Detailed Feasibility'!$C$56)),0))</f>
        <v>0</v>
      </c>
      <c r="AP148" s="548">
        <f>IF(AP116="","",IF(AND(AP116&gt;='Detailed Feasibility'!$C$56,AP116&lt;'Detailed Feasibility'!$D$56),('Detailed Feasibility Inputs'!$F$84/('Detailed Feasibility'!$D$56-'Detailed Feasibility'!$C$56)),0))</f>
        <v>0</v>
      </c>
      <c r="AQ148" s="548" t="str">
        <f>IF(AQ116="","",IF(AND(AQ116&gt;='Detailed Feasibility'!$C$56,AQ116&lt;'Detailed Feasibility'!$D$56),('Detailed Feasibility Inputs'!$F$84/('Detailed Feasibility'!$D$56-'Detailed Feasibility'!$C$56)),0))</f>
        <v/>
      </c>
      <c r="AR148" s="548" t="str">
        <f>IF(AR116="","",IF(AND(AR116&gt;='Detailed Feasibility'!$C$56,AR116&lt;'Detailed Feasibility'!$D$56),('Detailed Feasibility Inputs'!$F$84/('Detailed Feasibility'!$D$56-'Detailed Feasibility'!$C$56)),0))</f>
        <v/>
      </c>
      <c r="AS148" s="548" t="str">
        <f>IF(AS116="","",IF(AND(AS116&gt;='Detailed Feasibility'!$C$56,AS116&lt;'Detailed Feasibility'!$D$56),('Detailed Feasibility Inputs'!$F$84/('Detailed Feasibility'!$D$56-'Detailed Feasibility'!$C$56)),0))</f>
        <v/>
      </c>
      <c r="AT148" s="548" t="str">
        <f>IF(AT116="","",IF(AND(AT116&gt;='Detailed Feasibility'!$C$56,AT116&lt;'Detailed Feasibility'!$D$56),('Detailed Feasibility Inputs'!$F$84/('Detailed Feasibility'!$D$56-'Detailed Feasibility'!$C$56)),0))</f>
        <v/>
      </c>
      <c r="AU148" s="548" t="str">
        <f>IF(AU116="","",IF(AND(AU116&gt;='Detailed Feasibility'!$C$56,AU116&lt;'Detailed Feasibility'!$D$56),('Detailed Feasibility Inputs'!$F$84/('Detailed Feasibility'!$D$56-'Detailed Feasibility'!$C$56)),0))</f>
        <v/>
      </c>
      <c r="AV148" s="548" t="str">
        <f>IF(AV116="","",IF(AND(AV116&gt;='Detailed Feasibility'!$C$56,AV116&lt;'Detailed Feasibility'!$D$56),('Detailed Feasibility Inputs'!$F$84/('Detailed Feasibility'!$D$56-'Detailed Feasibility'!$C$56)),0))</f>
        <v/>
      </c>
      <c r="AW148" s="548" t="str">
        <f>IF(AW116="","",IF(AND(AW116&gt;='Detailed Feasibility'!$C$56,AW116&lt;'Detailed Feasibility'!$D$56),('Detailed Feasibility Inputs'!$F$84/('Detailed Feasibility'!$D$56-'Detailed Feasibility'!$C$56)),0))</f>
        <v/>
      </c>
      <c r="AX148" s="548" t="str">
        <f>IF(AX116="","",IF(AND(AX116&gt;='Detailed Feasibility'!$C$56,AX116&lt;'Detailed Feasibility'!$D$56),('Detailed Feasibility Inputs'!$F$84/('Detailed Feasibility'!$D$56-'Detailed Feasibility'!$C$56)),0))</f>
        <v/>
      </c>
      <c r="AY148" s="548" t="str">
        <f>IF(AY116="","",IF(AND(AY116&gt;='Detailed Feasibility'!$C$56,AY116&lt;'Detailed Feasibility'!$D$56),('Detailed Feasibility Inputs'!$F$84/('Detailed Feasibility'!$D$56-'Detailed Feasibility'!$C$56)),0))</f>
        <v/>
      </c>
      <c r="AZ148" s="548" t="str">
        <f>IF(AZ116="","",IF(AND(AZ116&gt;='Detailed Feasibility'!$C$56,AZ116&lt;'Detailed Feasibility'!$D$56),('Detailed Feasibility Inputs'!$F$84/('Detailed Feasibility'!$D$56-'Detailed Feasibility'!$C$56)),0))</f>
        <v/>
      </c>
      <c r="BA148" s="548" t="str">
        <f>IF(BA116="","",IF(AND(BA116&gt;='Detailed Feasibility'!$C$56,BA116&lt;'Detailed Feasibility'!$D$56),('Detailed Feasibility Inputs'!$F$84/('Detailed Feasibility'!$D$56-'Detailed Feasibility'!$C$56)),0))</f>
        <v/>
      </c>
      <c r="BB148" s="548" t="str">
        <f>IF(BB116="","",IF(AND(BB116&gt;='Detailed Feasibility'!$C$56,BB116&lt;'Detailed Feasibility'!$D$56),('Detailed Feasibility Inputs'!$F$84/('Detailed Feasibility'!$D$56-'Detailed Feasibility'!$C$56)),0))</f>
        <v/>
      </c>
      <c r="BC148" s="548" t="str">
        <f>IF(BC116="","",IF(AND(BC116&gt;='Detailed Feasibility'!$C$56,BC116&lt;'Detailed Feasibility'!$D$56),('Detailed Feasibility Inputs'!$F$84/('Detailed Feasibility'!$D$56-'Detailed Feasibility'!$C$56)),0))</f>
        <v/>
      </c>
      <c r="BD148" s="548" t="str">
        <f>IF(BD116="","",IF(AND(BD116&gt;='Detailed Feasibility'!$C$56,BD116&lt;'Detailed Feasibility'!$D$56),('Detailed Feasibility Inputs'!$F$84/('Detailed Feasibility'!$D$56-'Detailed Feasibility'!$C$56)),0))</f>
        <v/>
      </c>
      <c r="BE148" s="548" t="str">
        <f>IF(BE116="","",IF(AND(BE116&gt;='Detailed Feasibility'!$C$56,BE116&lt;'Detailed Feasibility'!$D$56),('Detailed Feasibility Inputs'!$F$84/('Detailed Feasibility'!$D$56-'Detailed Feasibility'!$C$56)),0))</f>
        <v/>
      </c>
      <c r="BF148" s="548" t="str">
        <f>IF(BF116="","",IF(AND(BF116&gt;='Detailed Feasibility'!$C$56,BF116&lt;'Detailed Feasibility'!$D$56),('Detailed Feasibility Inputs'!$F$84/('Detailed Feasibility'!$D$56-'Detailed Feasibility'!$C$56)),0))</f>
        <v/>
      </c>
      <c r="BG148" s="548" t="str">
        <f>IF(BG116="","",IF(AND(BG116&gt;='Detailed Feasibility'!$C$56,BG116&lt;'Detailed Feasibility'!$D$56),('Detailed Feasibility Inputs'!$F$84/('Detailed Feasibility'!$D$56-'Detailed Feasibility'!$C$56)),0))</f>
        <v/>
      </c>
      <c r="BH148" s="548" t="str">
        <f>IF(BH116="","",IF(AND(BH116&gt;='Detailed Feasibility'!$C$56,BH116&lt;'Detailed Feasibility'!$D$56),('Detailed Feasibility Inputs'!$F$84/('Detailed Feasibility'!$D$56-'Detailed Feasibility'!$C$56)),0))</f>
        <v/>
      </c>
      <c r="BI148" s="548" t="str">
        <f>IF(BI116="","",IF(AND(BI116&gt;='Detailed Feasibility'!$C$56,BI116&lt;'Detailed Feasibility'!$D$56),('Detailed Feasibility Inputs'!$F$84/('Detailed Feasibility'!$D$56-'Detailed Feasibility'!$C$56)),0))</f>
        <v/>
      </c>
      <c r="BJ148" s="548" t="str">
        <f>IF(BJ116="","",IF(AND(BJ116&gt;='Detailed Feasibility'!$C$56,BJ116&lt;'Detailed Feasibility'!$D$56),('Detailed Feasibility Inputs'!$F$84/('Detailed Feasibility'!$D$56-'Detailed Feasibility'!$C$56)),0))</f>
        <v/>
      </c>
      <c r="BK148" s="548" t="str">
        <f>IF(BK116="","",IF(AND(BK116&gt;='Detailed Feasibility'!$C$56,BK116&lt;'Detailed Feasibility'!$D$56),('Detailed Feasibility Inputs'!$F$84/('Detailed Feasibility'!$D$56-'Detailed Feasibility'!$C$56)),0))</f>
        <v/>
      </c>
      <c r="BL148" s="548" t="str">
        <f>IF(BL116="","",IF(AND(BL116&gt;='Detailed Feasibility'!$C$56,BL116&lt;'Detailed Feasibility'!$D$56),('Detailed Feasibility Inputs'!$F$84/('Detailed Feasibility'!$D$56-'Detailed Feasibility'!$C$56)),0))</f>
        <v/>
      </c>
      <c r="BM148" s="56" t="str">
        <f>IF(BM116="","",IF(AND(BM116&gt;='Detailed Feasibility'!$C$56,BM116&lt;'Detailed Feasibility'!$D$56),('Detailed Feasibility Inputs'!$F$84/('Detailed Feasibility'!$D$56-'Detailed Feasibility'!$C$56)),0))</f>
        <v/>
      </c>
    </row>
    <row r="149" spans="2:65" s="1" customFormat="1" x14ac:dyDescent="0.25">
      <c r="B149" s="547" t="str">
        <f>B57</f>
        <v>Professional Fees</v>
      </c>
      <c r="C149" s="187"/>
      <c r="D149" s="20">
        <f>'Detailed Feasibility Inputs'!$F$98</f>
        <v>1202900</v>
      </c>
      <c r="E149" s="187">
        <f t="shared" si="28"/>
        <v>1</v>
      </c>
      <c r="F149" s="548">
        <f>IF(AND(F116&gt;='Detailed Feasibility'!$C$57,F116&lt;'Detailed Feasibility'!$D$57),('Detailed Feasibility Inputs'!$F$98/('Detailed Feasibility'!$D$57-'Detailed Feasibility'!$C$57)),0)</f>
        <v>0</v>
      </c>
      <c r="G149" s="548">
        <f>IF(G116="","",IF(AND(G116&gt;='Detailed Feasibility'!$C$57,G116&lt;'Detailed Feasibility'!$D$57),('Detailed Feasibility Inputs'!$F$98/('Detailed Feasibility'!$D$57-'Detailed Feasibility'!$C$57)),0))</f>
        <v>0</v>
      </c>
      <c r="H149" s="548">
        <f>IF(H116="","",IF(AND(H116&gt;='Detailed Feasibility'!$C$57,H116&lt;'Detailed Feasibility'!$D$57),('Detailed Feasibility Inputs'!$F$98/('Detailed Feasibility'!$D$57-'Detailed Feasibility'!$C$57)),0))</f>
        <v>0</v>
      </c>
      <c r="I149" s="548">
        <f>IF(I116="","",IF(AND(I116&gt;='Detailed Feasibility'!$C$57,I116&lt;'Detailed Feasibility'!$D$57),('Detailed Feasibility Inputs'!$F$98/('Detailed Feasibility'!$D$57-'Detailed Feasibility'!$C$57)),0))</f>
        <v>0</v>
      </c>
      <c r="J149" s="548">
        <f>IF(J116="","",IF(AND(J116&gt;='Detailed Feasibility'!$C$57,J116&lt;'Detailed Feasibility'!$D$57),('Detailed Feasibility Inputs'!$F$98/('Detailed Feasibility'!$D$57-'Detailed Feasibility'!$C$57)),0))</f>
        <v>80193.333333333328</v>
      </c>
      <c r="K149" s="548">
        <f>IF(K116="","",IF(AND(K116&gt;='Detailed Feasibility'!$C$57,K116&lt;'Detailed Feasibility'!$D$57),('Detailed Feasibility Inputs'!$F$98/('Detailed Feasibility'!$D$57-'Detailed Feasibility'!$C$57)),0))</f>
        <v>80193.333333333328</v>
      </c>
      <c r="L149" s="548">
        <f>IF(L116="","",IF(AND(L116&gt;='Detailed Feasibility'!$C$57,L116&lt;'Detailed Feasibility'!$D$57),('Detailed Feasibility Inputs'!$F$98/('Detailed Feasibility'!$D$57-'Detailed Feasibility'!$C$57)),0))</f>
        <v>80193.333333333328</v>
      </c>
      <c r="M149" s="548">
        <f>IF(M116="","",IF(AND(M116&gt;='Detailed Feasibility'!$C$57,M116&lt;'Detailed Feasibility'!$D$57),('Detailed Feasibility Inputs'!$F$98/('Detailed Feasibility'!$D$57-'Detailed Feasibility'!$C$57)),0))</f>
        <v>80193.333333333328</v>
      </c>
      <c r="N149" s="548">
        <f>IF(N116="","",IF(AND(N116&gt;='Detailed Feasibility'!$C$57,N116&lt;'Detailed Feasibility'!$D$57),('Detailed Feasibility Inputs'!$F$98/('Detailed Feasibility'!$D$57-'Detailed Feasibility'!$C$57)),0))</f>
        <v>80193.333333333328</v>
      </c>
      <c r="O149" s="548">
        <f>IF(O116="","",IF(AND(O116&gt;='Detailed Feasibility'!$C$57,O116&lt;'Detailed Feasibility'!$D$57),('Detailed Feasibility Inputs'!$F$98/('Detailed Feasibility'!$D$57-'Detailed Feasibility'!$C$57)),0))</f>
        <v>80193.333333333328</v>
      </c>
      <c r="P149" s="548">
        <f>IF(P116="","",IF(AND(P116&gt;='Detailed Feasibility'!$C$57,P116&lt;'Detailed Feasibility'!$D$57),('Detailed Feasibility Inputs'!$F$98/('Detailed Feasibility'!$D$57-'Detailed Feasibility'!$C$57)),0))</f>
        <v>80193.333333333328</v>
      </c>
      <c r="Q149" s="548">
        <f>IF(Q116="","",IF(AND(Q116&gt;='Detailed Feasibility'!$C$57,Q116&lt;'Detailed Feasibility'!$D$57),('Detailed Feasibility Inputs'!$F$98/('Detailed Feasibility'!$D$57-'Detailed Feasibility'!$C$57)),0))</f>
        <v>80193.333333333328</v>
      </c>
      <c r="R149" s="548">
        <f>IF(R116="","",IF(AND(R116&gt;='Detailed Feasibility'!$C$57,R116&lt;'Detailed Feasibility'!$D$57),('Detailed Feasibility Inputs'!$F$98/('Detailed Feasibility'!$D$57-'Detailed Feasibility'!$C$57)),0))</f>
        <v>80193.333333333328</v>
      </c>
      <c r="S149" s="548">
        <f>IF(S116="","",IF(AND(S116&gt;='Detailed Feasibility'!$C$57,S116&lt;'Detailed Feasibility'!$D$57),('Detailed Feasibility Inputs'!$F$98/('Detailed Feasibility'!$D$57-'Detailed Feasibility'!$C$57)),0))</f>
        <v>80193.333333333328</v>
      </c>
      <c r="T149" s="548">
        <f>IF(T116="","",IF(AND(T116&gt;='Detailed Feasibility'!$C$57,T116&lt;'Detailed Feasibility'!$D$57),('Detailed Feasibility Inputs'!$F$98/('Detailed Feasibility'!$D$57-'Detailed Feasibility'!$C$57)),0))</f>
        <v>80193.333333333328</v>
      </c>
      <c r="U149" s="548">
        <f>IF(U116="","",IF(AND(U116&gt;='Detailed Feasibility'!$C$57,U116&lt;'Detailed Feasibility'!$D$57),('Detailed Feasibility Inputs'!$F$98/('Detailed Feasibility'!$D$57-'Detailed Feasibility'!$C$57)),0))</f>
        <v>80193.333333333328</v>
      </c>
      <c r="V149" s="548">
        <f>IF(V116="","",IF(AND(V116&gt;='Detailed Feasibility'!$C$57,V116&lt;'Detailed Feasibility'!$D$57),('Detailed Feasibility Inputs'!$F$98/('Detailed Feasibility'!$D$57-'Detailed Feasibility'!$C$57)),0))</f>
        <v>80193.333333333328</v>
      </c>
      <c r="W149" s="548">
        <f>IF(W116="","",IF(AND(W116&gt;='Detailed Feasibility'!$C$57,W116&lt;'Detailed Feasibility'!$D$57),('Detailed Feasibility Inputs'!$F$98/('Detailed Feasibility'!$D$57-'Detailed Feasibility'!$C$57)),0))</f>
        <v>80193.333333333328</v>
      </c>
      <c r="X149" s="548">
        <f>IF(X116="","",IF(AND(X116&gt;='Detailed Feasibility'!$C$57,X116&lt;'Detailed Feasibility'!$D$57),('Detailed Feasibility Inputs'!$F$98/('Detailed Feasibility'!$D$57-'Detailed Feasibility'!$C$57)),0))</f>
        <v>80193.333333333328</v>
      </c>
      <c r="Y149" s="548">
        <f>IF(Y116="","",IF(AND(Y116&gt;='Detailed Feasibility'!$C$57,Y116&lt;'Detailed Feasibility'!$D$57),('Detailed Feasibility Inputs'!$F$98/('Detailed Feasibility'!$D$57-'Detailed Feasibility'!$C$57)),0))</f>
        <v>0</v>
      </c>
      <c r="Z149" s="548">
        <f>IF(Z116="","",IF(AND(Z116&gt;='Detailed Feasibility'!$C$57,Z116&lt;'Detailed Feasibility'!$D$57),('Detailed Feasibility Inputs'!$F$98/('Detailed Feasibility'!$D$57-'Detailed Feasibility'!$C$57)),0))</f>
        <v>0</v>
      </c>
      <c r="AA149" s="548">
        <f>IF(AA116="","",IF(AND(AA116&gt;='Detailed Feasibility'!$C$57,AA116&lt;'Detailed Feasibility'!$D$57),('Detailed Feasibility Inputs'!$F$98/('Detailed Feasibility'!$D$57-'Detailed Feasibility'!$C$57)),0))</f>
        <v>0</v>
      </c>
      <c r="AB149" s="548">
        <f>IF(AB116="","",IF(AND(AB116&gt;='Detailed Feasibility'!$C$57,AB116&lt;'Detailed Feasibility'!$D$57),('Detailed Feasibility Inputs'!$F$98/('Detailed Feasibility'!$D$57-'Detailed Feasibility'!$C$57)),0))</f>
        <v>0</v>
      </c>
      <c r="AC149" s="548">
        <f>IF(AC116="","",IF(AND(AC116&gt;='Detailed Feasibility'!$C$57,AC116&lt;'Detailed Feasibility'!$D$57),('Detailed Feasibility Inputs'!$F$98/('Detailed Feasibility'!$D$57-'Detailed Feasibility'!$C$57)),0))</f>
        <v>0</v>
      </c>
      <c r="AD149" s="548">
        <f>IF(AD116="","",IF(AND(AD116&gt;='Detailed Feasibility'!$C$57,AD116&lt;'Detailed Feasibility'!$D$57),('Detailed Feasibility Inputs'!$F$98/('Detailed Feasibility'!$D$57-'Detailed Feasibility'!$C$57)),0))</f>
        <v>0</v>
      </c>
      <c r="AE149" s="548">
        <f>IF(AE116="","",IF(AND(AE116&gt;='Detailed Feasibility'!$C$57,AE116&lt;'Detailed Feasibility'!$D$57),('Detailed Feasibility Inputs'!$F$98/('Detailed Feasibility'!$D$57-'Detailed Feasibility'!$C$57)),0))</f>
        <v>0</v>
      </c>
      <c r="AF149" s="548">
        <f>IF(AF116="","",IF(AND(AF116&gt;='Detailed Feasibility'!$C$57,AF116&lt;'Detailed Feasibility'!$D$57),('Detailed Feasibility Inputs'!$F$98/('Detailed Feasibility'!$D$57-'Detailed Feasibility'!$C$57)),0))</f>
        <v>0</v>
      </c>
      <c r="AG149" s="548">
        <f>IF(AG116="","",IF(AND(AG116&gt;='Detailed Feasibility'!$C$57,AG116&lt;'Detailed Feasibility'!$D$57),('Detailed Feasibility Inputs'!$F$98/('Detailed Feasibility'!$D$57-'Detailed Feasibility'!$C$57)),0))</f>
        <v>0</v>
      </c>
      <c r="AH149" s="548">
        <f>IF(AH116="","",IF(AND(AH116&gt;='Detailed Feasibility'!$C$57,AH116&lt;'Detailed Feasibility'!$D$57),('Detailed Feasibility Inputs'!$F$98/('Detailed Feasibility'!$D$57-'Detailed Feasibility'!$C$57)),0))</f>
        <v>0</v>
      </c>
      <c r="AI149" s="548">
        <f>IF(AI116="","",IF(AND(AI116&gt;='Detailed Feasibility'!$C$57,AI116&lt;'Detailed Feasibility'!$D$57),('Detailed Feasibility Inputs'!$F$98/('Detailed Feasibility'!$D$57-'Detailed Feasibility'!$C$57)),0))</f>
        <v>0</v>
      </c>
      <c r="AJ149" s="548">
        <f>IF(AJ116="","",IF(AND(AJ116&gt;='Detailed Feasibility'!$C$57,AJ116&lt;'Detailed Feasibility'!$D$57),('Detailed Feasibility Inputs'!$F$98/('Detailed Feasibility'!$D$57-'Detailed Feasibility'!$C$57)),0))</f>
        <v>0</v>
      </c>
      <c r="AK149" s="548">
        <f>IF(AK116="","",IF(AND(AK116&gt;='Detailed Feasibility'!$C$57,AK116&lt;'Detailed Feasibility'!$D$57),('Detailed Feasibility Inputs'!$F$98/('Detailed Feasibility'!$D$57-'Detailed Feasibility'!$C$57)),0))</f>
        <v>0</v>
      </c>
      <c r="AL149" s="548">
        <f>IF(AL116="","",IF(AND(AL116&gt;='Detailed Feasibility'!$C$57,AL116&lt;'Detailed Feasibility'!$D$57),('Detailed Feasibility Inputs'!$F$98/('Detailed Feasibility'!$D$57-'Detailed Feasibility'!$C$57)),0))</f>
        <v>0</v>
      </c>
      <c r="AM149" s="548">
        <f>IF(AM116="","",IF(AND(AM116&gt;='Detailed Feasibility'!$C$57,AM116&lt;'Detailed Feasibility'!$D$57),('Detailed Feasibility Inputs'!$F$98/('Detailed Feasibility'!$D$57-'Detailed Feasibility'!$C$57)),0))</f>
        <v>0</v>
      </c>
      <c r="AN149" s="548">
        <f>IF(AN116="","",IF(AND(AN116&gt;='Detailed Feasibility'!$C$57,AN116&lt;'Detailed Feasibility'!$D$57),('Detailed Feasibility Inputs'!$F$98/('Detailed Feasibility'!$D$57-'Detailed Feasibility'!$C$57)),0))</f>
        <v>0</v>
      </c>
      <c r="AO149" s="548">
        <f>IF(AO116="","",IF(AND(AO116&gt;='Detailed Feasibility'!$C$57,AO116&lt;'Detailed Feasibility'!$D$57),('Detailed Feasibility Inputs'!$F$98/('Detailed Feasibility'!$D$57-'Detailed Feasibility'!$C$57)),0))</f>
        <v>0</v>
      </c>
      <c r="AP149" s="548">
        <f>IF(AP116="","",IF(AND(AP116&gt;='Detailed Feasibility'!$C$57,AP116&lt;'Detailed Feasibility'!$D$57),('Detailed Feasibility Inputs'!$F$98/('Detailed Feasibility'!$D$57-'Detailed Feasibility'!$C$57)),0))</f>
        <v>0</v>
      </c>
      <c r="AQ149" s="548" t="str">
        <f>IF(AQ116="","",IF(AND(AQ116&gt;='Detailed Feasibility'!$C$57,AQ116&lt;'Detailed Feasibility'!$D$57),('Detailed Feasibility Inputs'!$F$98/('Detailed Feasibility'!$D$57-'Detailed Feasibility'!$C$57)),0))</f>
        <v/>
      </c>
      <c r="AR149" s="548" t="str">
        <f>IF(AR116="","",IF(AND(AR116&gt;='Detailed Feasibility'!$C$57,AR116&lt;'Detailed Feasibility'!$D$57),('Detailed Feasibility Inputs'!$F$98/('Detailed Feasibility'!$D$57-'Detailed Feasibility'!$C$57)),0))</f>
        <v/>
      </c>
      <c r="AS149" s="548" t="str">
        <f>IF(AS116="","",IF(AND(AS116&gt;='Detailed Feasibility'!$C$57,AS116&lt;'Detailed Feasibility'!$D$57),('Detailed Feasibility Inputs'!$F$98/('Detailed Feasibility'!$D$57-'Detailed Feasibility'!$C$57)),0))</f>
        <v/>
      </c>
      <c r="AT149" s="548" t="str">
        <f>IF(AT116="","",IF(AND(AT116&gt;='Detailed Feasibility'!$C$57,AT116&lt;'Detailed Feasibility'!$D$57),('Detailed Feasibility Inputs'!$F$98/('Detailed Feasibility'!$D$57-'Detailed Feasibility'!$C$57)),0))</f>
        <v/>
      </c>
      <c r="AU149" s="548" t="str">
        <f>IF(AU116="","",IF(AND(AU116&gt;='Detailed Feasibility'!$C$57,AU116&lt;'Detailed Feasibility'!$D$57),('Detailed Feasibility Inputs'!$F$98/('Detailed Feasibility'!$D$57-'Detailed Feasibility'!$C$57)),0))</f>
        <v/>
      </c>
      <c r="AV149" s="548" t="str">
        <f>IF(AV116="","",IF(AND(AV116&gt;='Detailed Feasibility'!$C$57,AV116&lt;'Detailed Feasibility'!$D$57),('Detailed Feasibility Inputs'!$F$98/('Detailed Feasibility'!$D$57-'Detailed Feasibility'!$C$57)),0))</f>
        <v/>
      </c>
      <c r="AW149" s="548" t="str">
        <f>IF(AW116="","",IF(AND(AW116&gt;='Detailed Feasibility'!$C$57,AW116&lt;'Detailed Feasibility'!$D$57),('Detailed Feasibility Inputs'!$F$98/('Detailed Feasibility'!$D$57-'Detailed Feasibility'!$C$57)),0))</f>
        <v/>
      </c>
      <c r="AX149" s="548" t="str">
        <f>IF(AX116="","",IF(AND(AX116&gt;='Detailed Feasibility'!$C$57,AX116&lt;'Detailed Feasibility'!$D$57),('Detailed Feasibility Inputs'!$F$98/('Detailed Feasibility'!$D$57-'Detailed Feasibility'!$C$57)),0))</f>
        <v/>
      </c>
      <c r="AY149" s="548" t="str">
        <f>IF(AY116="","",IF(AND(AY116&gt;='Detailed Feasibility'!$C$57,AY116&lt;'Detailed Feasibility'!$D$57),('Detailed Feasibility Inputs'!$F$98/('Detailed Feasibility'!$D$57-'Detailed Feasibility'!$C$57)),0))</f>
        <v/>
      </c>
      <c r="AZ149" s="548" t="str">
        <f>IF(AZ116="","",IF(AND(AZ116&gt;='Detailed Feasibility'!$C$57,AZ116&lt;'Detailed Feasibility'!$D$57),('Detailed Feasibility Inputs'!$F$98/('Detailed Feasibility'!$D$57-'Detailed Feasibility'!$C$57)),0))</f>
        <v/>
      </c>
      <c r="BA149" s="548" t="str">
        <f>IF(BA116="","",IF(AND(BA116&gt;='Detailed Feasibility'!$C$57,BA116&lt;'Detailed Feasibility'!$D$57),('Detailed Feasibility Inputs'!$F$98/('Detailed Feasibility'!$D$57-'Detailed Feasibility'!$C$57)),0))</f>
        <v/>
      </c>
      <c r="BB149" s="548" t="str">
        <f>IF(BB116="","",IF(AND(BB116&gt;='Detailed Feasibility'!$C$57,BB116&lt;'Detailed Feasibility'!$D$57),('Detailed Feasibility Inputs'!$F$98/('Detailed Feasibility'!$D$57-'Detailed Feasibility'!$C$57)),0))</f>
        <v/>
      </c>
      <c r="BC149" s="548" t="str">
        <f>IF(BC116="","",IF(AND(BC116&gt;='Detailed Feasibility'!$C$57,BC116&lt;'Detailed Feasibility'!$D$57),('Detailed Feasibility Inputs'!$F$98/('Detailed Feasibility'!$D$57-'Detailed Feasibility'!$C$57)),0))</f>
        <v/>
      </c>
      <c r="BD149" s="548" t="str">
        <f>IF(BD116="","",IF(AND(BD116&gt;='Detailed Feasibility'!$C$57,BD116&lt;'Detailed Feasibility'!$D$57),('Detailed Feasibility Inputs'!$F$98/('Detailed Feasibility'!$D$57-'Detailed Feasibility'!$C$57)),0))</f>
        <v/>
      </c>
      <c r="BE149" s="548" t="str">
        <f>IF(BE116="","",IF(AND(BE116&gt;='Detailed Feasibility'!$C$57,BE116&lt;'Detailed Feasibility'!$D$57),('Detailed Feasibility Inputs'!$F$98/('Detailed Feasibility'!$D$57-'Detailed Feasibility'!$C$57)),0))</f>
        <v/>
      </c>
      <c r="BF149" s="548" t="str">
        <f>IF(BF116="","",IF(AND(BF116&gt;='Detailed Feasibility'!$C$57,BF116&lt;'Detailed Feasibility'!$D$57),('Detailed Feasibility Inputs'!$F$98/('Detailed Feasibility'!$D$57-'Detailed Feasibility'!$C$57)),0))</f>
        <v/>
      </c>
      <c r="BG149" s="548" t="str">
        <f>IF(BG116="","",IF(AND(BG116&gt;='Detailed Feasibility'!$C$57,BG116&lt;'Detailed Feasibility'!$D$57),('Detailed Feasibility Inputs'!$F$98/('Detailed Feasibility'!$D$57-'Detailed Feasibility'!$C$57)),0))</f>
        <v/>
      </c>
      <c r="BH149" s="548" t="str">
        <f>IF(BH116="","",IF(AND(BH116&gt;='Detailed Feasibility'!$C$57,BH116&lt;'Detailed Feasibility'!$D$57),('Detailed Feasibility Inputs'!$F$98/('Detailed Feasibility'!$D$57-'Detailed Feasibility'!$C$57)),0))</f>
        <v/>
      </c>
      <c r="BI149" s="548" t="str">
        <f>IF(BI116="","",IF(AND(BI116&gt;='Detailed Feasibility'!$C$57,BI116&lt;'Detailed Feasibility'!$D$57),('Detailed Feasibility Inputs'!$F$98/('Detailed Feasibility'!$D$57-'Detailed Feasibility'!$C$57)),0))</f>
        <v/>
      </c>
      <c r="BJ149" s="548" t="str">
        <f>IF(BJ116="","",IF(AND(BJ116&gt;='Detailed Feasibility'!$C$57,BJ116&lt;'Detailed Feasibility'!$D$57),('Detailed Feasibility Inputs'!$F$98/('Detailed Feasibility'!$D$57-'Detailed Feasibility'!$C$57)),0))</f>
        <v/>
      </c>
      <c r="BK149" s="548" t="str">
        <f>IF(BK116="","",IF(AND(BK116&gt;='Detailed Feasibility'!$C$57,BK116&lt;'Detailed Feasibility'!$D$57),('Detailed Feasibility Inputs'!$F$98/('Detailed Feasibility'!$D$57-'Detailed Feasibility'!$C$57)),0))</f>
        <v/>
      </c>
      <c r="BL149" s="548" t="str">
        <f>IF(BL116="","",IF(AND(BL116&gt;='Detailed Feasibility'!$C$57,BL116&lt;'Detailed Feasibility'!$D$57),('Detailed Feasibility Inputs'!$F$98/('Detailed Feasibility'!$D$57-'Detailed Feasibility'!$C$57)),0))</f>
        <v/>
      </c>
      <c r="BM149" s="56" t="str">
        <f>IF(BM116="","",IF(AND(BM116&gt;='Detailed Feasibility'!$C$57,BM116&lt;'Detailed Feasibility'!$D$57),('Detailed Feasibility Inputs'!$F$98/('Detailed Feasibility'!$D$57-'Detailed Feasibility'!$C$57)),0))</f>
        <v/>
      </c>
    </row>
    <row r="150" spans="2:65" s="1" customFormat="1" x14ac:dyDescent="0.25">
      <c r="B150" s="547" t="str">
        <f>B58</f>
        <v>Council Costs</v>
      </c>
      <c r="C150" s="187"/>
      <c r="D150" s="20">
        <f>'Detailed Feasibility Inputs'!$F$108</f>
        <v>432000</v>
      </c>
      <c r="E150" s="187">
        <f t="shared" si="28"/>
        <v>1</v>
      </c>
      <c r="F150" s="548">
        <f>IF(AND(F116&gt;='Detailed Feasibility'!$C$58,F116&lt;'Detailed Feasibility'!$D$58),('Detailed Feasibility Inputs'!$F$108/('Detailed Feasibility'!$D$58-'Detailed Feasibility'!$C$58)),0)</f>
        <v>0</v>
      </c>
      <c r="G150" s="548">
        <f>IF(G116="","",IF(AND(G116&gt;='Detailed Feasibility'!$C$58,G116&lt;'Detailed Feasibility'!$D$58),('Detailed Feasibility Inputs'!$F$108/('Detailed Feasibility'!$D$58-'Detailed Feasibility'!$C$58)),0))</f>
        <v>0</v>
      </c>
      <c r="H150" s="548">
        <f>IF(H116="","",IF(AND(H116&gt;='Detailed Feasibility'!$C$58,H116&lt;'Detailed Feasibility'!$D$58),('Detailed Feasibility Inputs'!$F$108/('Detailed Feasibility'!$D$58-'Detailed Feasibility'!$C$58)),0))</f>
        <v>0</v>
      </c>
      <c r="I150" s="548">
        <f>IF(I116="","",IF(AND(I116&gt;='Detailed Feasibility'!$C$58,I116&lt;'Detailed Feasibility'!$D$58),('Detailed Feasibility Inputs'!$F$108/('Detailed Feasibility'!$D$58-'Detailed Feasibility'!$C$58)),0))</f>
        <v>0</v>
      </c>
      <c r="J150" s="548">
        <f>IF(J116="","",IF(AND(J116&gt;='Detailed Feasibility'!$C$58,J116&lt;'Detailed Feasibility'!$D$58),('Detailed Feasibility Inputs'!$F$108/('Detailed Feasibility'!$D$58-'Detailed Feasibility'!$C$58)),0))</f>
        <v>0</v>
      </c>
      <c r="K150" s="548">
        <f>IF(K116="","",IF(AND(K116&gt;='Detailed Feasibility'!$C$58,K116&lt;'Detailed Feasibility'!$D$58),('Detailed Feasibility Inputs'!$F$108/('Detailed Feasibility'!$D$58-'Detailed Feasibility'!$C$58)),0))</f>
        <v>30857.142857142859</v>
      </c>
      <c r="L150" s="548">
        <f>IF(L116="","",IF(AND(L116&gt;='Detailed Feasibility'!$C$58,L116&lt;'Detailed Feasibility'!$D$58),('Detailed Feasibility Inputs'!$F$108/('Detailed Feasibility'!$D$58-'Detailed Feasibility'!$C$58)),0))</f>
        <v>30857.142857142859</v>
      </c>
      <c r="M150" s="548">
        <f>IF(M116="","",IF(AND(M116&gt;='Detailed Feasibility'!$C$58,M116&lt;'Detailed Feasibility'!$D$58),('Detailed Feasibility Inputs'!$F$108/('Detailed Feasibility'!$D$58-'Detailed Feasibility'!$C$58)),0))</f>
        <v>30857.142857142859</v>
      </c>
      <c r="N150" s="548">
        <f>IF(N116="","",IF(AND(N116&gt;='Detailed Feasibility'!$C$58,N116&lt;'Detailed Feasibility'!$D$58),('Detailed Feasibility Inputs'!$F$108/('Detailed Feasibility'!$D$58-'Detailed Feasibility'!$C$58)),0))</f>
        <v>30857.142857142859</v>
      </c>
      <c r="O150" s="548">
        <f>IF(O116="","",IF(AND(O116&gt;='Detailed Feasibility'!$C$58,O116&lt;'Detailed Feasibility'!$D$58),('Detailed Feasibility Inputs'!$F$108/('Detailed Feasibility'!$D$58-'Detailed Feasibility'!$C$58)),0))</f>
        <v>30857.142857142859</v>
      </c>
      <c r="P150" s="548">
        <f>IF(P116="","",IF(AND(P116&gt;='Detailed Feasibility'!$C$58,P116&lt;'Detailed Feasibility'!$D$58),('Detailed Feasibility Inputs'!$F$108/('Detailed Feasibility'!$D$58-'Detailed Feasibility'!$C$58)),0))</f>
        <v>30857.142857142859</v>
      </c>
      <c r="Q150" s="548">
        <f>IF(Q116="","",IF(AND(Q116&gt;='Detailed Feasibility'!$C$58,Q116&lt;'Detailed Feasibility'!$D$58),('Detailed Feasibility Inputs'!$F$108/('Detailed Feasibility'!$D$58-'Detailed Feasibility'!$C$58)),0))</f>
        <v>30857.142857142859</v>
      </c>
      <c r="R150" s="548">
        <f>IF(R116="","",IF(AND(R116&gt;='Detailed Feasibility'!$C$58,R116&lt;'Detailed Feasibility'!$D$58),('Detailed Feasibility Inputs'!$F$108/('Detailed Feasibility'!$D$58-'Detailed Feasibility'!$C$58)),0))</f>
        <v>30857.142857142859</v>
      </c>
      <c r="S150" s="548">
        <f>IF(S116="","",IF(AND(S116&gt;='Detailed Feasibility'!$C$58,S116&lt;'Detailed Feasibility'!$D$58),('Detailed Feasibility Inputs'!$F$108/('Detailed Feasibility'!$D$58-'Detailed Feasibility'!$C$58)),0))</f>
        <v>30857.142857142859</v>
      </c>
      <c r="T150" s="548">
        <f>IF(T116="","",IF(AND(T116&gt;='Detailed Feasibility'!$C$58,T116&lt;'Detailed Feasibility'!$D$58),('Detailed Feasibility Inputs'!$F$108/('Detailed Feasibility'!$D$58-'Detailed Feasibility'!$C$58)),0))</f>
        <v>30857.142857142859</v>
      </c>
      <c r="U150" s="548">
        <f>IF(U116="","",IF(AND(U116&gt;='Detailed Feasibility'!$C$58,U116&lt;'Detailed Feasibility'!$D$58),('Detailed Feasibility Inputs'!$F$108/('Detailed Feasibility'!$D$58-'Detailed Feasibility'!$C$58)),0))</f>
        <v>30857.142857142859</v>
      </c>
      <c r="V150" s="548">
        <f>IF(V116="","",IF(AND(V116&gt;='Detailed Feasibility'!$C$58,V116&lt;'Detailed Feasibility'!$D$58),('Detailed Feasibility Inputs'!$F$108/('Detailed Feasibility'!$D$58-'Detailed Feasibility'!$C$58)),0))</f>
        <v>30857.142857142859</v>
      </c>
      <c r="W150" s="548">
        <f>IF(W116="","",IF(AND(W116&gt;='Detailed Feasibility'!$C$58,W116&lt;'Detailed Feasibility'!$D$58),('Detailed Feasibility Inputs'!$F$108/('Detailed Feasibility'!$D$58-'Detailed Feasibility'!$C$58)),0))</f>
        <v>30857.142857142859</v>
      </c>
      <c r="X150" s="548">
        <f>IF(X116="","",IF(AND(X116&gt;='Detailed Feasibility'!$C$58,X116&lt;'Detailed Feasibility'!$D$58),('Detailed Feasibility Inputs'!$F$108/('Detailed Feasibility'!$D$58-'Detailed Feasibility'!$C$58)),0))</f>
        <v>30857.142857142859</v>
      </c>
      <c r="Y150" s="548">
        <f>IF(Y116="","",IF(AND(Y116&gt;='Detailed Feasibility'!$C$58,Y116&lt;'Detailed Feasibility'!$D$58),('Detailed Feasibility Inputs'!$F$108/('Detailed Feasibility'!$D$58-'Detailed Feasibility'!$C$58)),0))</f>
        <v>0</v>
      </c>
      <c r="Z150" s="548">
        <f>IF(Z116="","",IF(AND(Z116&gt;='Detailed Feasibility'!$C$58,Z116&lt;'Detailed Feasibility'!$D$58),('Detailed Feasibility Inputs'!$F$108/('Detailed Feasibility'!$D$58-'Detailed Feasibility'!$C$58)),0))</f>
        <v>0</v>
      </c>
      <c r="AA150" s="548">
        <f>IF(AA116="","",IF(AND(AA116&gt;='Detailed Feasibility'!$C$58,AA116&lt;'Detailed Feasibility'!$D$58),('Detailed Feasibility Inputs'!$F$108/('Detailed Feasibility'!$D$58-'Detailed Feasibility'!$C$58)),0))</f>
        <v>0</v>
      </c>
      <c r="AB150" s="548">
        <f>IF(AB116="","",IF(AND(AB116&gt;='Detailed Feasibility'!$C$58,AB116&lt;'Detailed Feasibility'!$D$58),('Detailed Feasibility Inputs'!$F$108/('Detailed Feasibility'!$D$58-'Detailed Feasibility'!$C$58)),0))</f>
        <v>0</v>
      </c>
      <c r="AC150" s="548">
        <f>IF(AC116="","",IF(AND(AC116&gt;='Detailed Feasibility'!$C$58,AC116&lt;'Detailed Feasibility'!$D$58),('Detailed Feasibility Inputs'!$F$108/('Detailed Feasibility'!$D$58-'Detailed Feasibility'!$C$58)),0))</f>
        <v>0</v>
      </c>
      <c r="AD150" s="548">
        <f>IF(AD116="","",IF(AND(AD116&gt;='Detailed Feasibility'!$C$58,AD116&lt;'Detailed Feasibility'!$D$58),('Detailed Feasibility Inputs'!$F$108/('Detailed Feasibility'!$D$58-'Detailed Feasibility'!$C$58)),0))</f>
        <v>0</v>
      </c>
      <c r="AE150" s="548">
        <f>IF(AE116="","",IF(AND(AE116&gt;='Detailed Feasibility'!$C$58,AE116&lt;'Detailed Feasibility'!$D$58),('Detailed Feasibility Inputs'!$F$108/('Detailed Feasibility'!$D$58-'Detailed Feasibility'!$C$58)),0))</f>
        <v>0</v>
      </c>
      <c r="AF150" s="548">
        <f>IF(AF116="","",IF(AND(AF116&gt;='Detailed Feasibility'!$C$58,AF116&lt;'Detailed Feasibility'!$D$58),('Detailed Feasibility Inputs'!$F$108/('Detailed Feasibility'!$D$58-'Detailed Feasibility'!$C$58)),0))</f>
        <v>0</v>
      </c>
      <c r="AG150" s="548">
        <f>IF(AG116="","",IF(AND(AG116&gt;='Detailed Feasibility'!$C$58,AG116&lt;'Detailed Feasibility'!$D$58),('Detailed Feasibility Inputs'!$F$108/('Detailed Feasibility'!$D$58-'Detailed Feasibility'!$C$58)),0))</f>
        <v>0</v>
      </c>
      <c r="AH150" s="548">
        <f>IF(AH116="","",IF(AND(AH116&gt;='Detailed Feasibility'!$C$58,AH116&lt;'Detailed Feasibility'!$D$58),('Detailed Feasibility Inputs'!$F$108/('Detailed Feasibility'!$D$58-'Detailed Feasibility'!$C$58)),0))</f>
        <v>0</v>
      </c>
      <c r="AI150" s="548">
        <f>IF(AI116="","",IF(AND(AI116&gt;='Detailed Feasibility'!$C$58,AI116&lt;'Detailed Feasibility'!$D$58),('Detailed Feasibility Inputs'!$F$108/('Detailed Feasibility'!$D$58-'Detailed Feasibility'!$C$58)),0))</f>
        <v>0</v>
      </c>
      <c r="AJ150" s="548">
        <f>IF(AJ116="","",IF(AND(AJ116&gt;='Detailed Feasibility'!$C$58,AJ116&lt;'Detailed Feasibility'!$D$58),('Detailed Feasibility Inputs'!$F$108/('Detailed Feasibility'!$D$58-'Detailed Feasibility'!$C$58)),0))</f>
        <v>0</v>
      </c>
      <c r="AK150" s="548">
        <f>IF(AK116="","",IF(AND(AK116&gt;='Detailed Feasibility'!$C$58,AK116&lt;'Detailed Feasibility'!$D$58),('Detailed Feasibility Inputs'!$F$108/('Detailed Feasibility'!$D$58-'Detailed Feasibility'!$C$58)),0))</f>
        <v>0</v>
      </c>
      <c r="AL150" s="548">
        <f>IF(AL116="","",IF(AND(AL116&gt;='Detailed Feasibility'!$C$58,AL116&lt;'Detailed Feasibility'!$D$58),('Detailed Feasibility Inputs'!$F$108/('Detailed Feasibility'!$D$58-'Detailed Feasibility'!$C$58)),0))</f>
        <v>0</v>
      </c>
      <c r="AM150" s="548">
        <f>IF(AM116="","",IF(AND(AM116&gt;='Detailed Feasibility'!$C$58,AM116&lt;'Detailed Feasibility'!$D$58),('Detailed Feasibility Inputs'!$F$108/('Detailed Feasibility'!$D$58-'Detailed Feasibility'!$C$58)),0))</f>
        <v>0</v>
      </c>
      <c r="AN150" s="548">
        <f>IF(AN116="","",IF(AND(AN116&gt;='Detailed Feasibility'!$C$58,AN116&lt;'Detailed Feasibility'!$D$58),('Detailed Feasibility Inputs'!$F$108/('Detailed Feasibility'!$D$58-'Detailed Feasibility'!$C$58)),0))</f>
        <v>0</v>
      </c>
      <c r="AO150" s="548">
        <f>IF(AO116="","",IF(AND(AO116&gt;='Detailed Feasibility'!$C$58,AO116&lt;'Detailed Feasibility'!$D$58),('Detailed Feasibility Inputs'!$F$108/('Detailed Feasibility'!$D$58-'Detailed Feasibility'!$C$58)),0))</f>
        <v>0</v>
      </c>
      <c r="AP150" s="548">
        <f>IF(AP116="","",IF(AND(AP116&gt;='Detailed Feasibility'!$C$58,AP116&lt;'Detailed Feasibility'!$D$58),('Detailed Feasibility Inputs'!$F$108/('Detailed Feasibility'!$D$58-'Detailed Feasibility'!$C$58)),0))</f>
        <v>0</v>
      </c>
      <c r="AQ150" s="548" t="str">
        <f>IF(AQ116="","",IF(AND(AQ116&gt;='Detailed Feasibility'!$C$58,AQ116&lt;'Detailed Feasibility'!$D$58),('Detailed Feasibility Inputs'!$F$108/('Detailed Feasibility'!$D$58-'Detailed Feasibility'!$C$58)),0))</f>
        <v/>
      </c>
      <c r="AR150" s="548" t="str">
        <f>IF(AR116="","",IF(AND(AR116&gt;='Detailed Feasibility'!$C$58,AR116&lt;'Detailed Feasibility'!$D$58),('Detailed Feasibility Inputs'!$F$108/('Detailed Feasibility'!$D$58-'Detailed Feasibility'!$C$58)),0))</f>
        <v/>
      </c>
      <c r="AS150" s="548" t="str">
        <f>IF(AS116="","",IF(AND(AS116&gt;='Detailed Feasibility'!$C$58,AS116&lt;'Detailed Feasibility'!$D$58),('Detailed Feasibility Inputs'!$F$108/('Detailed Feasibility'!$D$58-'Detailed Feasibility'!$C$58)),0))</f>
        <v/>
      </c>
      <c r="AT150" s="548" t="str">
        <f>IF(AT116="","",IF(AND(AT116&gt;='Detailed Feasibility'!$C$58,AT116&lt;'Detailed Feasibility'!$D$58),('Detailed Feasibility Inputs'!$F$108/('Detailed Feasibility'!$D$58-'Detailed Feasibility'!$C$58)),0))</f>
        <v/>
      </c>
      <c r="AU150" s="548" t="str">
        <f>IF(AU116="","",IF(AND(AU116&gt;='Detailed Feasibility'!$C$58,AU116&lt;'Detailed Feasibility'!$D$58),('Detailed Feasibility Inputs'!$F$108/('Detailed Feasibility'!$D$58-'Detailed Feasibility'!$C$58)),0))</f>
        <v/>
      </c>
      <c r="AV150" s="548" t="str">
        <f>IF(AV116="","",IF(AND(AV116&gt;='Detailed Feasibility'!$C$58,AV116&lt;'Detailed Feasibility'!$D$58),('Detailed Feasibility Inputs'!$F$108/('Detailed Feasibility'!$D$58-'Detailed Feasibility'!$C$58)),0))</f>
        <v/>
      </c>
      <c r="AW150" s="548" t="str">
        <f>IF(AW116="","",IF(AND(AW116&gt;='Detailed Feasibility'!$C$58,AW116&lt;'Detailed Feasibility'!$D$58),('Detailed Feasibility Inputs'!$F$108/('Detailed Feasibility'!$D$58-'Detailed Feasibility'!$C$58)),0))</f>
        <v/>
      </c>
      <c r="AX150" s="548" t="str">
        <f>IF(AX116="","",IF(AND(AX116&gt;='Detailed Feasibility'!$C$58,AX116&lt;'Detailed Feasibility'!$D$58),('Detailed Feasibility Inputs'!$F$108/('Detailed Feasibility'!$D$58-'Detailed Feasibility'!$C$58)),0))</f>
        <v/>
      </c>
      <c r="AY150" s="548" t="str">
        <f>IF(AY116="","",IF(AND(AY116&gt;='Detailed Feasibility'!$C$58,AY116&lt;'Detailed Feasibility'!$D$58),('Detailed Feasibility Inputs'!$F$108/('Detailed Feasibility'!$D$58-'Detailed Feasibility'!$C$58)),0))</f>
        <v/>
      </c>
      <c r="AZ150" s="548" t="str">
        <f>IF(AZ116="","",IF(AND(AZ116&gt;='Detailed Feasibility'!$C$58,AZ116&lt;'Detailed Feasibility'!$D$58),('Detailed Feasibility Inputs'!$F$108/('Detailed Feasibility'!$D$58-'Detailed Feasibility'!$C$58)),0))</f>
        <v/>
      </c>
      <c r="BA150" s="548" t="str">
        <f>IF(BA116="","",IF(AND(BA116&gt;='Detailed Feasibility'!$C$58,BA116&lt;'Detailed Feasibility'!$D$58),('Detailed Feasibility Inputs'!$F$108/('Detailed Feasibility'!$D$58-'Detailed Feasibility'!$C$58)),0))</f>
        <v/>
      </c>
      <c r="BB150" s="548" t="str">
        <f>IF(BB116="","",IF(AND(BB116&gt;='Detailed Feasibility'!$C$58,BB116&lt;'Detailed Feasibility'!$D$58),('Detailed Feasibility Inputs'!$F$108/('Detailed Feasibility'!$D$58-'Detailed Feasibility'!$C$58)),0))</f>
        <v/>
      </c>
      <c r="BC150" s="548" t="str">
        <f>IF(BC116="","",IF(AND(BC116&gt;='Detailed Feasibility'!$C$58,BC116&lt;'Detailed Feasibility'!$D$58),('Detailed Feasibility Inputs'!$F$108/('Detailed Feasibility'!$D$58-'Detailed Feasibility'!$C$58)),0))</f>
        <v/>
      </c>
      <c r="BD150" s="548" t="str">
        <f>IF(BD116="","",IF(AND(BD116&gt;='Detailed Feasibility'!$C$58,BD116&lt;'Detailed Feasibility'!$D$58),('Detailed Feasibility Inputs'!$F$108/('Detailed Feasibility'!$D$58-'Detailed Feasibility'!$C$58)),0))</f>
        <v/>
      </c>
      <c r="BE150" s="548" t="str">
        <f>IF(BE116="","",IF(AND(BE116&gt;='Detailed Feasibility'!$C$58,BE116&lt;'Detailed Feasibility'!$D$58),('Detailed Feasibility Inputs'!$F$108/('Detailed Feasibility'!$D$58-'Detailed Feasibility'!$C$58)),0))</f>
        <v/>
      </c>
      <c r="BF150" s="548" t="str">
        <f>IF(BF116="","",IF(AND(BF116&gt;='Detailed Feasibility'!$C$58,BF116&lt;'Detailed Feasibility'!$D$58),('Detailed Feasibility Inputs'!$F$108/('Detailed Feasibility'!$D$58-'Detailed Feasibility'!$C$58)),0))</f>
        <v/>
      </c>
      <c r="BG150" s="548" t="str">
        <f>IF(BG116="","",IF(AND(BG116&gt;='Detailed Feasibility'!$C$58,BG116&lt;'Detailed Feasibility'!$D$58),('Detailed Feasibility Inputs'!$F$108/('Detailed Feasibility'!$D$58-'Detailed Feasibility'!$C$58)),0))</f>
        <v/>
      </c>
      <c r="BH150" s="548" t="str">
        <f>IF(BH116="","",IF(AND(BH116&gt;='Detailed Feasibility'!$C$58,BH116&lt;'Detailed Feasibility'!$D$58),('Detailed Feasibility Inputs'!$F$108/('Detailed Feasibility'!$D$58-'Detailed Feasibility'!$C$58)),0))</f>
        <v/>
      </c>
      <c r="BI150" s="548" t="str">
        <f>IF(BI116="","",IF(AND(BI116&gt;='Detailed Feasibility'!$C$58,BI116&lt;'Detailed Feasibility'!$D$58),('Detailed Feasibility Inputs'!$F$108/('Detailed Feasibility'!$D$58-'Detailed Feasibility'!$C$58)),0))</f>
        <v/>
      </c>
      <c r="BJ150" s="548" t="str">
        <f>IF(BJ116="","",IF(AND(BJ116&gt;='Detailed Feasibility'!$C$58,BJ116&lt;'Detailed Feasibility'!$D$58),('Detailed Feasibility Inputs'!$F$108/('Detailed Feasibility'!$D$58-'Detailed Feasibility'!$C$58)),0))</f>
        <v/>
      </c>
      <c r="BK150" s="548" t="str">
        <f>IF(BK116="","",IF(AND(BK116&gt;='Detailed Feasibility'!$C$58,BK116&lt;'Detailed Feasibility'!$D$58),('Detailed Feasibility Inputs'!$F$108/('Detailed Feasibility'!$D$58-'Detailed Feasibility'!$C$58)),0))</f>
        <v/>
      </c>
      <c r="BL150" s="548" t="str">
        <f>IF(BL116="","",IF(AND(BL116&gt;='Detailed Feasibility'!$C$58,BL116&lt;'Detailed Feasibility'!$D$58),('Detailed Feasibility Inputs'!$F$108/('Detailed Feasibility'!$D$58-'Detailed Feasibility'!$C$58)),0))</f>
        <v/>
      </c>
      <c r="BM150" s="56" t="str">
        <f>IF(BM116="","",IF(AND(BM116&gt;='Detailed Feasibility'!$C$58,BM116&lt;'Detailed Feasibility'!$D$58),('Detailed Feasibility Inputs'!$F$108/('Detailed Feasibility'!$D$58-'Detailed Feasibility'!$C$58)),0))</f>
        <v/>
      </c>
    </row>
    <row r="151" spans="2:65" s="1" customFormat="1" x14ac:dyDescent="0.25">
      <c r="B151" s="543" t="s">
        <v>117</v>
      </c>
      <c r="C151" s="544"/>
      <c r="D151" s="545"/>
      <c r="E151" s="545"/>
      <c r="F151" s="545"/>
      <c r="G151" s="545"/>
      <c r="H151" s="545"/>
      <c r="I151" s="545"/>
      <c r="J151" s="545"/>
      <c r="K151" s="545"/>
      <c r="L151" s="545"/>
      <c r="M151" s="545"/>
      <c r="N151" s="545"/>
      <c r="O151" s="545"/>
      <c r="P151" s="545"/>
      <c r="Q151" s="545"/>
      <c r="R151" s="545"/>
      <c r="S151" s="545"/>
      <c r="T151" s="545"/>
      <c r="U151" s="545"/>
      <c r="V151" s="545"/>
      <c r="W151" s="545"/>
      <c r="X151" s="545"/>
      <c r="Y151" s="545"/>
      <c r="Z151" s="545"/>
      <c r="AA151" s="545"/>
      <c r="AB151" s="545"/>
      <c r="AC151" s="545"/>
      <c r="AD151" s="545"/>
      <c r="AE151" s="545"/>
      <c r="AF151" s="545"/>
      <c r="AG151" s="545"/>
      <c r="AH151" s="545"/>
      <c r="AI151" s="545"/>
      <c r="AJ151" s="545"/>
      <c r="AK151" s="545"/>
      <c r="AL151" s="545"/>
      <c r="AM151" s="545"/>
      <c r="AN151" s="545"/>
      <c r="AO151" s="545"/>
      <c r="AP151" s="545"/>
      <c r="AQ151" s="545"/>
      <c r="AR151" s="545"/>
      <c r="AS151" s="545"/>
      <c r="AT151" s="545"/>
      <c r="AU151" s="545"/>
      <c r="AV151" s="545"/>
      <c r="AW151" s="545"/>
      <c r="AX151" s="545"/>
      <c r="AY151" s="545"/>
      <c r="AZ151" s="545"/>
      <c r="BA151" s="545"/>
      <c r="BB151" s="545"/>
      <c r="BC151" s="545"/>
      <c r="BD151" s="545"/>
      <c r="BE151" s="545"/>
      <c r="BF151" s="545"/>
      <c r="BG151" s="545"/>
      <c r="BH151" s="545"/>
      <c r="BI151" s="545"/>
      <c r="BJ151" s="545"/>
      <c r="BK151" s="545"/>
      <c r="BL151" s="545"/>
      <c r="BM151" s="546"/>
    </row>
    <row r="152" spans="2:65" s="1" customFormat="1" x14ac:dyDescent="0.25">
      <c r="B152" s="547" t="str">
        <f t="shared" ref="B152:B157" si="29">B93</f>
        <v>1 Bed</v>
      </c>
      <c r="C152" s="187"/>
      <c r="D152" s="20">
        <f>'Detailed Feasibility Inputs'!$F$53</f>
        <v>360000</v>
      </c>
      <c r="E152" s="187">
        <f>IF(SUM(F152:BM152)=D152,1,0)</f>
        <v>1</v>
      </c>
      <c r="F152" s="548">
        <f>SUMIFS('Detailed Feasibility'!$N$65:$N$86,$C$65:$C$86,'Detailed Feasibility'!$B$152,'Detailed Feasibility'!$F$65:$F$86,'Detailed Feasibility'!F116)+SUMIFS($O$65:$O$86,$C$65:$C$86,$B$152,$G$65:$G$86,F116)+SUMIFS($P$65:$P$86,$C$65:$C$86,$B$152,$H$65:$H$86,F116)</f>
        <v>0</v>
      </c>
      <c r="G152" s="548">
        <f>IF(G116="","",SUMIFS('Detailed Feasibility'!$N$65:$N$86,$C$65:$C$86,'Detailed Feasibility'!$B$152,'Detailed Feasibility'!$F$65:$F$86,'Detailed Feasibility'!G116)+SUMIFS($O$65:$O$86,$C$65:$C$86,$B$152,$G$65:$G$86,G116)+SUMIFS($P$65:$P$86,$C$65:$C$86,$B$152,$H$65:$H$86,G116))</f>
        <v>0</v>
      </c>
      <c r="H152" s="548">
        <f>IF(H116="","",SUMIFS('Detailed Feasibility'!$N$65:$N$86,$C$65:$C$86,'Detailed Feasibility'!$B$152,'Detailed Feasibility'!$F$65:$F$86,'Detailed Feasibility'!H116)+SUMIFS($O$65:$O$86,$C$65:$C$86,$B$152,$G$65:$G$86,H116)+SUMIFS($P$65:$P$86,$C$65:$C$86,$B$152,$H$65:$H$86,H116))</f>
        <v>0</v>
      </c>
      <c r="I152" s="548">
        <f>IF(I116="","",SUMIFS('Detailed Feasibility'!$N$65:$N$86,$C$65:$C$86,'Detailed Feasibility'!$B$152,'Detailed Feasibility'!$F$65:$F$86,'Detailed Feasibility'!I116)+SUMIFS($O$65:$O$86,$C$65:$C$86,$B$152,$G$65:$G$86,I116)+SUMIFS($P$65:$P$86,$C$65:$C$86,$B$152,$H$65:$H$86,I116))</f>
        <v>0</v>
      </c>
      <c r="J152" s="548">
        <f>IF(J116="","",SUMIFS('Detailed Feasibility'!$N$65:$N$86,$C$65:$C$86,'Detailed Feasibility'!$B$152,'Detailed Feasibility'!$F$65:$F$86,'Detailed Feasibility'!J116)+SUMIFS($O$65:$O$86,$C$65:$C$86,$B$152,$G$65:$G$86,J116)+SUMIFS($P$65:$P$86,$C$65:$C$86,$B$152,$H$65:$H$86,J116))</f>
        <v>0</v>
      </c>
      <c r="K152" s="548">
        <f>IF(K116="","",SUMIFS('Detailed Feasibility'!$N$65:$N$86,$C$65:$C$86,'Detailed Feasibility'!$B$152,'Detailed Feasibility'!$F$65:$F$86,'Detailed Feasibility'!K116)+SUMIFS($O$65:$O$86,$C$65:$C$86,$B$152,$G$65:$G$86,K116)+SUMIFS($P$65:$P$86,$C$65:$C$86,$B$152,$H$65:$H$86,K116))</f>
        <v>0</v>
      </c>
      <c r="L152" s="548">
        <f>IF(L116="","",SUMIFS('Detailed Feasibility'!$N$65:$N$86,$C$65:$C$86,'Detailed Feasibility'!$B$152,'Detailed Feasibility'!$F$65:$F$86,'Detailed Feasibility'!L116)+SUMIFS($O$65:$O$86,$C$65:$C$86,$B$152,$G$65:$G$86,L116)+SUMIFS($P$65:$P$86,$C$65:$C$86,$B$152,$H$65:$H$86,L116))</f>
        <v>0</v>
      </c>
      <c r="M152" s="548">
        <f>IF(M116="","",SUMIFS('Detailed Feasibility'!$N$65:$N$86,$C$65:$C$86,'Detailed Feasibility'!$B$152,'Detailed Feasibility'!$F$65:$F$86,'Detailed Feasibility'!M116)+SUMIFS($O$65:$O$86,$C$65:$C$86,$B$152,$G$65:$G$86,M116)+SUMIFS($P$65:$P$86,$C$65:$C$86,$B$152,$H$65:$H$86,M116))</f>
        <v>0</v>
      </c>
      <c r="N152" s="548">
        <f>IF(N116="","",SUMIFS('Detailed Feasibility'!$N$65:$N$86,$C$65:$C$86,'Detailed Feasibility'!$B$152,'Detailed Feasibility'!$F$65:$F$86,'Detailed Feasibility'!N116)+SUMIFS($O$65:$O$86,$C$65:$C$86,$B$152,$G$65:$G$86,N116)+SUMIFS($P$65:$P$86,$C$65:$C$86,$B$152,$H$65:$H$86,N116))</f>
        <v>0</v>
      </c>
      <c r="O152" s="548">
        <f>IF(O116="","",SUMIFS('Detailed Feasibility'!$N$65:$N$86,$C$65:$C$86,'Detailed Feasibility'!$B$152,'Detailed Feasibility'!$F$65:$F$86,'Detailed Feasibility'!O116)+SUMIFS($O$65:$O$86,$C$65:$C$86,$B$152,$G$65:$G$86,O116)+SUMIFS($P$65:$P$86,$C$65:$C$86,$B$152,$H$65:$H$86,O116))</f>
        <v>0</v>
      </c>
      <c r="P152" s="548">
        <f>IF(P116="","",SUMIFS('Detailed Feasibility'!$N$65:$N$86,$C$65:$C$86,'Detailed Feasibility'!$B$152,'Detailed Feasibility'!$F$65:$F$86,'Detailed Feasibility'!P116)+SUMIFS($O$65:$O$86,$C$65:$C$86,$B$152,$G$65:$G$86,P116)+SUMIFS($P$65:$P$86,$C$65:$C$86,$B$152,$H$65:$H$86,P116))</f>
        <v>0</v>
      </c>
      <c r="Q152" s="548">
        <f>IF(Q116="","",SUMIFS('Detailed Feasibility'!$N$65:$N$86,$C$65:$C$86,'Detailed Feasibility'!$B$152,'Detailed Feasibility'!$F$65:$F$86,'Detailed Feasibility'!Q116)+SUMIFS($O$65:$O$86,$C$65:$C$86,$B$152,$G$65:$G$86,Q116)+SUMIFS($P$65:$P$86,$C$65:$C$86,$B$152,$H$65:$H$86,Q116))</f>
        <v>0</v>
      </c>
      <c r="R152" s="548">
        <f>IF(R116="","",SUMIFS('Detailed Feasibility'!$N$65:$N$86,$C$65:$C$86,'Detailed Feasibility'!$B$152,'Detailed Feasibility'!$F$65:$F$86,'Detailed Feasibility'!R116)+SUMIFS($O$65:$O$86,$C$65:$C$86,$B$152,$G$65:$G$86,R116)+SUMIFS($P$65:$P$86,$C$65:$C$86,$B$152,$H$65:$H$86,R116))</f>
        <v>0</v>
      </c>
      <c r="S152" s="548">
        <f>IF(S116="","",SUMIFS('Detailed Feasibility'!$N$65:$N$86,$C$65:$C$86,'Detailed Feasibility'!$B$152,'Detailed Feasibility'!$F$65:$F$86,'Detailed Feasibility'!S116)+SUMIFS($O$65:$O$86,$C$65:$C$86,$B$152,$G$65:$G$86,S116)+SUMIFS($P$65:$P$86,$C$65:$C$86,$B$152,$H$65:$H$86,S116))</f>
        <v>120000</v>
      </c>
      <c r="T152" s="548">
        <f>IF(T116="","",SUMIFS('Detailed Feasibility'!$N$65:$N$86,$C$65:$C$86,'Detailed Feasibility'!$B$152,'Detailed Feasibility'!$F$65:$F$86,'Detailed Feasibility'!T116)+SUMIFS($O$65:$O$86,$C$65:$C$86,$B$152,$G$65:$G$86,T116)+SUMIFS($P$65:$P$86,$C$65:$C$86,$B$152,$H$65:$H$86,T116))</f>
        <v>0</v>
      </c>
      <c r="U152" s="548">
        <f>IF(U116="","",SUMIFS('Detailed Feasibility'!$N$65:$N$86,$C$65:$C$86,'Detailed Feasibility'!$B$152,'Detailed Feasibility'!$F$65:$F$86,'Detailed Feasibility'!U116)+SUMIFS($O$65:$O$86,$C$65:$C$86,$B$152,$G$65:$G$86,U116)+SUMIFS($P$65:$P$86,$C$65:$C$86,$B$152,$H$65:$H$86,U116))</f>
        <v>0</v>
      </c>
      <c r="V152" s="548">
        <f>IF(V116="","",SUMIFS('Detailed Feasibility'!$N$65:$N$86,$C$65:$C$86,'Detailed Feasibility'!$B$152,'Detailed Feasibility'!$F$65:$F$86,'Detailed Feasibility'!V116)+SUMIFS($O$65:$O$86,$C$65:$C$86,$B$152,$G$65:$G$86,V116)+SUMIFS($P$65:$P$86,$C$65:$C$86,$B$152,$H$65:$H$86,V116))</f>
        <v>120000</v>
      </c>
      <c r="W152" s="548">
        <f>IF(W116="","",SUMIFS('Detailed Feasibility'!$N$65:$N$86,$C$65:$C$86,'Detailed Feasibility'!$B$152,'Detailed Feasibility'!$F$65:$F$86,'Detailed Feasibility'!W116)+SUMIFS($O$65:$O$86,$C$65:$C$86,$B$152,$G$65:$G$86,W116)+SUMIFS($P$65:$P$86,$C$65:$C$86,$B$152,$H$65:$H$86,W116))</f>
        <v>120000</v>
      </c>
      <c r="X152" s="548">
        <f>IF(X116="","",SUMIFS('Detailed Feasibility'!$N$65:$N$86,$C$65:$C$86,'Detailed Feasibility'!$B$152,'Detailed Feasibility'!$F$65:$F$86,'Detailed Feasibility'!X116)+SUMIFS($O$65:$O$86,$C$65:$C$86,$B$152,$G$65:$G$86,X116)+SUMIFS($P$65:$P$86,$C$65:$C$86,$B$152,$H$65:$H$86,X116))</f>
        <v>0</v>
      </c>
      <c r="Y152" s="548">
        <f>IF(Y116="","",SUMIFS('Detailed Feasibility'!$N$65:$N$86,$C$65:$C$86,'Detailed Feasibility'!$B$152,'Detailed Feasibility'!$F$65:$F$86,'Detailed Feasibility'!Y116)+SUMIFS($O$65:$O$86,$C$65:$C$86,$B$152,$G$65:$G$86,Y116)+SUMIFS($P$65:$P$86,$C$65:$C$86,$B$152,$H$65:$H$86,Y116))</f>
        <v>0</v>
      </c>
      <c r="Z152" s="548">
        <f>IF(Z116="","",SUMIFS('Detailed Feasibility'!$N$65:$N$86,$C$65:$C$86,'Detailed Feasibility'!$B$152,'Detailed Feasibility'!$F$65:$F$86,'Detailed Feasibility'!Z116)+SUMIFS($O$65:$O$86,$C$65:$C$86,$B$152,$G$65:$G$86,Z116)+SUMIFS($P$65:$P$86,$C$65:$C$86,$B$152,$H$65:$H$86,Z116))</f>
        <v>0</v>
      </c>
      <c r="AA152" s="548">
        <f>IF(AA116="","",SUMIFS('Detailed Feasibility'!$N$65:$N$86,$C$65:$C$86,'Detailed Feasibility'!$B$152,'Detailed Feasibility'!$F$65:$F$86,'Detailed Feasibility'!AA116)+SUMIFS($O$65:$O$86,$C$65:$C$86,$B$152,$G$65:$G$86,AA116)+SUMIFS($P$65:$P$86,$C$65:$C$86,$B$152,$H$65:$H$86,AA116))</f>
        <v>0</v>
      </c>
      <c r="AB152" s="548">
        <f>IF(AB116="","",SUMIFS('Detailed Feasibility'!$N$65:$N$86,$C$65:$C$86,'Detailed Feasibility'!$B$152,'Detailed Feasibility'!$F$65:$F$86,'Detailed Feasibility'!AB116)+SUMIFS($O$65:$O$86,$C$65:$C$86,$B$152,$G$65:$G$86,AB116)+SUMIFS($P$65:$P$86,$C$65:$C$86,$B$152,$H$65:$H$86,AB116))</f>
        <v>0</v>
      </c>
      <c r="AC152" s="548">
        <f>IF(AC116="","",SUMIFS('Detailed Feasibility'!$N$65:$N$86,$C$65:$C$86,'Detailed Feasibility'!$B$152,'Detailed Feasibility'!$F$65:$F$86,'Detailed Feasibility'!AC116)+SUMIFS($O$65:$O$86,$C$65:$C$86,$B$152,$G$65:$G$86,AC116)+SUMIFS($P$65:$P$86,$C$65:$C$86,$B$152,$H$65:$H$86,AC116))</f>
        <v>0</v>
      </c>
      <c r="AD152" s="548">
        <f>IF(AD116="","",SUMIFS('Detailed Feasibility'!$N$65:$N$86,$C$65:$C$86,'Detailed Feasibility'!$B$152,'Detailed Feasibility'!$F$65:$F$86,'Detailed Feasibility'!AD116)+SUMIFS($O$65:$O$86,$C$65:$C$86,$B$152,$G$65:$G$86,AD116)+SUMIFS($P$65:$P$86,$C$65:$C$86,$B$152,$H$65:$H$86,AD116))</f>
        <v>0</v>
      </c>
      <c r="AE152" s="548">
        <f>IF(AE116="","",SUMIFS('Detailed Feasibility'!$N$65:$N$86,$C$65:$C$86,'Detailed Feasibility'!$B$152,'Detailed Feasibility'!$F$65:$F$86,'Detailed Feasibility'!AE116)+SUMIFS($O$65:$O$86,$C$65:$C$86,$B$152,$G$65:$G$86,AE116)+SUMIFS($P$65:$P$86,$C$65:$C$86,$B$152,$H$65:$H$86,AE116))</f>
        <v>0</v>
      </c>
      <c r="AF152" s="548">
        <f>IF(AF116="","",SUMIFS('Detailed Feasibility'!$N$65:$N$86,$C$65:$C$86,'Detailed Feasibility'!$B$152,'Detailed Feasibility'!$F$65:$F$86,'Detailed Feasibility'!AF116)+SUMIFS($O$65:$O$86,$C$65:$C$86,$B$152,$G$65:$G$86,AF116)+SUMIFS($P$65:$P$86,$C$65:$C$86,$B$152,$H$65:$H$86,AF116))</f>
        <v>0</v>
      </c>
      <c r="AG152" s="548">
        <f>IF(AG116="","",SUMIFS('Detailed Feasibility'!$N$65:$N$86,$C$65:$C$86,'Detailed Feasibility'!$B$152,'Detailed Feasibility'!$F$65:$F$86,'Detailed Feasibility'!AG116)+SUMIFS($O$65:$O$86,$C$65:$C$86,$B$152,$G$65:$G$86,AG116)+SUMIFS($P$65:$P$86,$C$65:$C$86,$B$152,$H$65:$H$86,AG116))</f>
        <v>0</v>
      </c>
      <c r="AH152" s="548">
        <f>IF(AH116="","",SUMIFS('Detailed Feasibility'!$N$65:$N$86,$C$65:$C$86,'Detailed Feasibility'!$B$152,'Detailed Feasibility'!$F$65:$F$86,'Detailed Feasibility'!AH116)+SUMIFS($O$65:$O$86,$C$65:$C$86,$B$152,$G$65:$G$86,AH116)+SUMIFS($P$65:$P$86,$C$65:$C$86,$B$152,$H$65:$H$86,AH116))</f>
        <v>0</v>
      </c>
      <c r="AI152" s="548">
        <f>IF(AI116="","",SUMIFS('Detailed Feasibility'!$N$65:$N$86,$C$65:$C$86,'Detailed Feasibility'!$B$152,'Detailed Feasibility'!$F$65:$F$86,'Detailed Feasibility'!AI116)+SUMIFS($O$65:$O$86,$C$65:$C$86,$B$152,$G$65:$G$86,AI116)+SUMIFS($P$65:$P$86,$C$65:$C$86,$B$152,$H$65:$H$86,AI116))</f>
        <v>0</v>
      </c>
      <c r="AJ152" s="548">
        <f>IF(AJ116="","",SUMIFS('Detailed Feasibility'!$N$65:$N$86,$C$65:$C$86,'Detailed Feasibility'!$B$152,'Detailed Feasibility'!$F$65:$F$86,'Detailed Feasibility'!AJ116)+SUMIFS($O$65:$O$86,$C$65:$C$86,$B$152,$G$65:$G$86,AJ116)+SUMIFS($P$65:$P$86,$C$65:$C$86,$B$152,$H$65:$H$86,AJ116))</f>
        <v>0</v>
      </c>
      <c r="AK152" s="548">
        <f>IF(AK116="","",SUMIFS('Detailed Feasibility'!$N$65:$N$86,$C$65:$C$86,'Detailed Feasibility'!$B$152,'Detailed Feasibility'!$F$65:$F$86,'Detailed Feasibility'!AK116)+SUMIFS($O$65:$O$86,$C$65:$C$86,$B$152,$G$65:$G$86,AK116)+SUMIFS($P$65:$P$86,$C$65:$C$86,$B$152,$H$65:$H$86,AK116))</f>
        <v>0</v>
      </c>
      <c r="AL152" s="548">
        <f>IF(AL116="","",SUMIFS('Detailed Feasibility'!$N$65:$N$86,$C$65:$C$86,'Detailed Feasibility'!$B$152,'Detailed Feasibility'!$F$65:$F$86,'Detailed Feasibility'!AL116)+SUMIFS($O$65:$O$86,$C$65:$C$86,$B$152,$G$65:$G$86,AL116)+SUMIFS($P$65:$P$86,$C$65:$C$86,$B$152,$H$65:$H$86,AL116))</f>
        <v>0</v>
      </c>
      <c r="AM152" s="548">
        <f>IF(AM116="","",SUMIFS('Detailed Feasibility'!$N$65:$N$86,$C$65:$C$86,'Detailed Feasibility'!$B$152,'Detailed Feasibility'!$F$65:$F$86,'Detailed Feasibility'!AM116)+SUMIFS($O$65:$O$86,$C$65:$C$86,$B$152,$G$65:$G$86,AM116)+SUMIFS($P$65:$P$86,$C$65:$C$86,$B$152,$H$65:$H$86,AM116))</f>
        <v>0</v>
      </c>
      <c r="AN152" s="548">
        <f>IF(AN116="","",SUMIFS('Detailed Feasibility'!$N$65:$N$86,$C$65:$C$86,'Detailed Feasibility'!$B$152,'Detailed Feasibility'!$F$65:$F$86,'Detailed Feasibility'!AN116)+SUMIFS($O$65:$O$86,$C$65:$C$86,$B$152,$G$65:$G$86,AN116)+SUMIFS($P$65:$P$86,$C$65:$C$86,$B$152,$H$65:$H$86,AN116))</f>
        <v>0</v>
      </c>
      <c r="AO152" s="548">
        <f>IF(AO116="","",SUMIFS('Detailed Feasibility'!$N$65:$N$86,$C$65:$C$86,'Detailed Feasibility'!$B$152,'Detailed Feasibility'!$F$65:$F$86,'Detailed Feasibility'!AO116)+SUMIFS($O$65:$O$86,$C$65:$C$86,$B$152,$G$65:$G$86,AO116)+SUMIFS($P$65:$P$86,$C$65:$C$86,$B$152,$H$65:$H$86,AO116))</f>
        <v>0</v>
      </c>
      <c r="AP152" s="548">
        <f>IF(AP116="","",SUMIFS('Detailed Feasibility'!$N$65:$N$86,$C$65:$C$86,'Detailed Feasibility'!$B$152,'Detailed Feasibility'!$F$65:$F$86,'Detailed Feasibility'!AP116)+SUMIFS($O$65:$O$86,$C$65:$C$86,$B$152,$G$65:$G$86,AP116)+SUMIFS($P$65:$P$86,$C$65:$C$86,$B$152,$H$65:$H$86,AP116))</f>
        <v>0</v>
      </c>
      <c r="AQ152" s="548" t="str">
        <f>IF(AQ116="","",SUMIFS('Detailed Feasibility'!$N$65:$N$86,$C$65:$C$86,'Detailed Feasibility'!$B$152,'Detailed Feasibility'!$F$65:$F$86,'Detailed Feasibility'!AQ116)+SUMIFS($O$65:$O$86,$C$65:$C$86,$B$152,$G$65:$G$86,AQ116)+SUMIFS($P$65:$P$86,$C$65:$C$86,$B$152,$H$65:$H$86,AQ116))</f>
        <v/>
      </c>
      <c r="AR152" s="548" t="str">
        <f>IF(AR116="","",SUMIFS('Detailed Feasibility'!$N$65:$N$86,$C$65:$C$86,'Detailed Feasibility'!$B$152,'Detailed Feasibility'!$F$65:$F$86,'Detailed Feasibility'!AR116)+SUMIFS($O$65:$O$86,$C$65:$C$86,$B$152,$G$65:$G$86,AR116)+SUMIFS($P$65:$P$86,$C$65:$C$86,$B$152,$H$65:$H$86,AR116))</f>
        <v/>
      </c>
      <c r="AS152" s="548" t="str">
        <f>IF(AS116="","",SUMIFS('Detailed Feasibility'!$N$65:$N$86,$C$65:$C$86,'Detailed Feasibility'!$B$152,'Detailed Feasibility'!$F$65:$F$86,'Detailed Feasibility'!AS116)+SUMIFS($O$65:$O$86,$C$65:$C$86,$B$152,$G$65:$G$86,AS116)+SUMIFS($P$65:$P$86,$C$65:$C$86,$B$152,$H$65:$H$86,AS116))</f>
        <v/>
      </c>
      <c r="AT152" s="548" t="str">
        <f>IF(AT116="","",SUMIFS('Detailed Feasibility'!$N$65:$N$86,$C$65:$C$86,'Detailed Feasibility'!$B$152,'Detailed Feasibility'!$F$65:$F$86,'Detailed Feasibility'!AT116)+SUMIFS($O$65:$O$86,$C$65:$C$86,$B$152,$G$65:$G$86,AT116)+SUMIFS($P$65:$P$86,$C$65:$C$86,$B$152,$H$65:$H$86,AT116))</f>
        <v/>
      </c>
      <c r="AU152" s="548" t="str">
        <f>IF(AU116="","",SUMIFS('Detailed Feasibility'!$N$65:$N$86,$C$65:$C$86,'Detailed Feasibility'!$B$152,'Detailed Feasibility'!$F$65:$F$86,'Detailed Feasibility'!AU116)+SUMIFS($O$65:$O$86,$C$65:$C$86,$B$152,$G$65:$G$86,AU116)+SUMIFS($P$65:$P$86,$C$65:$C$86,$B$152,$H$65:$H$86,AU116))</f>
        <v/>
      </c>
      <c r="AV152" s="548" t="str">
        <f>IF(AV116="","",SUMIFS('Detailed Feasibility'!$N$65:$N$86,$C$65:$C$86,'Detailed Feasibility'!$B$152,'Detailed Feasibility'!$F$65:$F$86,'Detailed Feasibility'!AV116)+SUMIFS($O$65:$O$86,$C$65:$C$86,$B$152,$G$65:$G$86,AV116)+SUMIFS($P$65:$P$86,$C$65:$C$86,$B$152,$H$65:$H$86,AV116))</f>
        <v/>
      </c>
      <c r="AW152" s="548" t="str">
        <f>IF(AW116="","",SUMIFS('Detailed Feasibility'!$N$65:$N$86,$C$65:$C$86,'Detailed Feasibility'!$B$152,'Detailed Feasibility'!$F$65:$F$86,'Detailed Feasibility'!AW116)+SUMIFS($O$65:$O$86,$C$65:$C$86,$B$152,$G$65:$G$86,AW116)+SUMIFS($P$65:$P$86,$C$65:$C$86,$B$152,$H$65:$H$86,AW116))</f>
        <v/>
      </c>
      <c r="AX152" s="548" t="str">
        <f>IF(AX116="","",SUMIFS('Detailed Feasibility'!$N$65:$N$86,$C$65:$C$86,'Detailed Feasibility'!$B$152,'Detailed Feasibility'!$F$65:$F$86,'Detailed Feasibility'!AX116)+SUMIFS($O$65:$O$86,$C$65:$C$86,$B$152,$G$65:$G$86,AX116)+SUMIFS($P$65:$P$86,$C$65:$C$86,$B$152,$H$65:$H$86,AX116))</f>
        <v/>
      </c>
      <c r="AY152" s="548" t="str">
        <f>IF(AY116="","",SUMIFS('Detailed Feasibility'!$N$65:$N$86,$C$65:$C$86,'Detailed Feasibility'!$B$152,'Detailed Feasibility'!$F$65:$F$86,'Detailed Feasibility'!AY116)+SUMIFS($O$65:$O$86,$C$65:$C$86,$B$152,$G$65:$G$86,AY116)+SUMIFS($P$65:$P$86,$C$65:$C$86,$B$152,$H$65:$H$86,AY116))</f>
        <v/>
      </c>
      <c r="AZ152" s="548" t="str">
        <f>IF(AZ116="","",SUMIFS('Detailed Feasibility'!$N$65:$N$86,$C$65:$C$86,'Detailed Feasibility'!$B$152,'Detailed Feasibility'!$F$65:$F$86,'Detailed Feasibility'!AZ116)+SUMIFS($O$65:$O$86,$C$65:$C$86,$B$152,$G$65:$G$86,AZ116)+SUMIFS($P$65:$P$86,$C$65:$C$86,$B$152,$H$65:$H$86,AZ116))</f>
        <v/>
      </c>
      <c r="BA152" s="548" t="str">
        <f>IF(BA116="","",SUMIFS('Detailed Feasibility'!$N$65:$N$86,$C$65:$C$86,'Detailed Feasibility'!$B$152,'Detailed Feasibility'!$F$65:$F$86,'Detailed Feasibility'!BA116)+SUMIFS($O$65:$O$86,$C$65:$C$86,$B$152,$G$65:$G$86,BA116)+SUMIFS($P$65:$P$86,$C$65:$C$86,$B$152,$H$65:$H$86,BA116))</f>
        <v/>
      </c>
      <c r="BB152" s="548" t="str">
        <f>IF(BB116="","",SUMIFS('Detailed Feasibility'!$N$65:$N$86,$C$65:$C$86,'Detailed Feasibility'!$B$152,'Detailed Feasibility'!$F$65:$F$86,'Detailed Feasibility'!BB116)+SUMIFS($O$65:$O$86,$C$65:$C$86,$B$152,$G$65:$G$86,BB116)+SUMIFS($P$65:$P$86,$C$65:$C$86,$B$152,$H$65:$H$86,BB116))</f>
        <v/>
      </c>
      <c r="BC152" s="548" t="str">
        <f>IF(BC116="","",SUMIFS('Detailed Feasibility'!$N$65:$N$86,$C$65:$C$86,'Detailed Feasibility'!$B$152,'Detailed Feasibility'!$F$65:$F$86,'Detailed Feasibility'!BC116)+SUMIFS($O$65:$O$86,$C$65:$C$86,$B$152,$G$65:$G$86,BC116)+SUMIFS($P$65:$P$86,$C$65:$C$86,$B$152,$H$65:$H$86,BC116))</f>
        <v/>
      </c>
      <c r="BD152" s="548" t="str">
        <f>IF(BD116="","",SUMIFS('Detailed Feasibility'!$N$65:$N$86,$C$65:$C$86,'Detailed Feasibility'!$B$152,'Detailed Feasibility'!$F$65:$F$86,'Detailed Feasibility'!BD116)+SUMIFS($O$65:$O$86,$C$65:$C$86,$B$152,$G$65:$G$86,BD116)+SUMIFS($P$65:$P$86,$C$65:$C$86,$B$152,$H$65:$H$86,BD116))</f>
        <v/>
      </c>
      <c r="BE152" s="548" t="str">
        <f>IF(BE116="","",SUMIFS('Detailed Feasibility'!$N$65:$N$86,$C$65:$C$86,'Detailed Feasibility'!$B$152,'Detailed Feasibility'!$F$65:$F$86,'Detailed Feasibility'!BE116)+SUMIFS($O$65:$O$86,$C$65:$C$86,$B$152,$G$65:$G$86,BE116)+SUMIFS($P$65:$P$86,$C$65:$C$86,$B$152,$H$65:$H$86,BE116))</f>
        <v/>
      </c>
      <c r="BF152" s="548" t="str">
        <f>IF(BF116="","",SUMIFS('Detailed Feasibility'!$N$65:$N$86,$C$65:$C$86,'Detailed Feasibility'!$B$152,'Detailed Feasibility'!$F$65:$F$86,'Detailed Feasibility'!BF116)+SUMIFS($O$65:$O$86,$C$65:$C$86,$B$152,$G$65:$G$86,BF116)+SUMIFS($P$65:$P$86,$C$65:$C$86,$B$152,$H$65:$H$86,BF116))</f>
        <v/>
      </c>
      <c r="BG152" s="548" t="str">
        <f>IF(BG116="","",SUMIFS('Detailed Feasibility'!$N$65:$N$86,$C$65:$C$86,'Detailed Feasibility'!$B$152,'Detailed Feasibility'!$F$65:$F$86,'Detailed Feasibility'!BG116)+SUMIFS($O$65:$O$86,$C$65:$C$86,$B$152,$G$65:$G$86,BG116)+SUMIFS($P$65:$P$86,$C$65:$C$86,$B$152,$H$65:$H$86,BG116))</f>
        <v/>
      </c>
      <c r="BH152" s="548" t="str">
        <f>IF(BH116="","",SUMIFS('Detailed Feasibility'!$N$65:$N$86,$C$65:$C$86,'Detailed Feasibility'!$B$152,'Detailed Feasibility'!$F$65:$F$86,'Detailed Feasibility'!BH116)+SUMIFS($O$65:$O$86,$C$65:$C$86,$B$152,$G$65:$G$86,BH116)+SUMIFS($P$65:$P$86,$C$65:$C$86,$B$152,$H$65:$H$86,BH116))</f>
        <v/>
      </c>
      <c r="BI152" s="548" t="str">
        <f>IF(BI116="","",SUMIFS('Detailed Feasibility'!$N$65:$N$86,$C$65:$C$86,'Detailed Feasibility'!$B$152,'Detailed Feasibility'!$F$65:$F$86,'Detailed Feasibility'!BI116)+SUMIFS($O$65:$O$86,$C$65:$C$86,$B$152,$G$65:$G$86,BI116)+SUMIFS($P$65:$P$86,$C$65:$C$86,$B$152,$H$65:$H$86,BI116))</f>
        <v/>
      </c>
      <c r="BJ152" s="548" t="str">
        <f>IF(BJ116="","",SUMIFS('Detailed Feasibility'!$N$65:$N$86,$C$65:$C$86,'Detailed Feasibility'!$B$152,'Detailed Feasibility'!$F$65:$F$86,'Detailed Feasibility'!BJ116)+SUMIFS($O$65:$O$86,$C$65:$C$86,$B$152,$G$65:$G$86,BJ116)+SUMIFS($P$65:$P$86,$C$65:$C$86,$B$152,$H$65:$H$86,BJ116))</f>
        <v/>
      </c>
      <c r="BK152" s="548" t="str">
        <f>IF(BK116="","",SUMIFS('Detailed Feasibility'!$N$65:$N$86,$C$65:$C$86,'Detailed Feasibility'!$B$152,'Detailed Feasibility'!$F$65:$F$86,'Detailed Feasibility'!BK116)+SUMIFS($O$65:$O$86,$C$65:$C$86,$B$152,$G$65:$G$86,BK116)+SUMIFS($P$65:$P$86,$C$65:$C$86,$B$152,$H$65:$H$86,BK116))</f>
        <v/>
      </c>
      <c r="BL152" s="548" t="str">
        <f>IF(BL116="","",SUMIFS('Detailed Feasibility'!$N$65:$N$86,$C$65:$C$86,'Detailed Feasibility'!$B$152,'Detailed Feasibility'!$F$65:$F$86,'Detailed Feasibility'!BL116)+SUMIFS($O$65:$O$86,$C$65:$C$86,$B$152,$G$65:$G$86,BL116)+SUMIFS($P$65:$P$86,$C$65:$C$86,$B$152,$H$65:$H$86,BL116))</f>
        <v/>
      </c>
      <c r="BM152" s="56" t="str">
        <f>IF(BM116="","",SUMIFS('Detailed Feasibility'!$N$65:$N$86,$C$65:$C$86,'Detailed Feasibility'!$B$152,'Detailed Feasibility'!$F$65:$F$86,'Detailed Feasibility'!BM116)+SUMIFS($O$65:$O$86,$C$65:$C$86,$B$152,$G$65:$G$86,BM116)+SUMIFS($P$65:$P$86,$C$65:$C$86,$B$152,$H$65:$H$86,BM116))</f>
        <v/>
      </c>
    </row>
    <row r="153" spans="2:65" s="1" customFormat="1" x14ac:dyDescent="0.25">
      <c r="B153" s="547" t="str">
        <f t="shared" si="29"/>
        <v>2 Bed</v>
      </c>
      <c r="C153" s="187"/>
      <c r="D153" s="20">
        <f>'Detailed Feasibility Inputs'!$F$54</f>
        <v>975000</v>
      </c>
      <c r="E153" s="187">
        <f t="shared" ref="E153:E158" si="30">IF(SUM(F153:BM153)=D153,1,0)</f>
        <v>1</v>
      </c>
      <c r="F153" s="548">
        <f>SUMIFS('Detailed Feasibility'!$N$65:$N$86,$C$65:$C$86,'Detailed Feasibility'!$B$153,'Detailed Feasibility'!$F$65:$F$86,'Detailed Feasibility'!F116)+SUMIFS($O$65:$O$86,$C$65:$C$86,$B$153,$G$65:$G$86,F116)+SUMIFS($P$65:$P$86,$C$65:$C$86,$B$153,$H$65:$H$86,F116)</f>
        <v>0</v>
      </c>
      <c r="G153" s="548">
        <f>IF(G116="","",SUMIFS('Detailed Feasibility'!$N$65:$N$86,$C$65:$C$86,'Detailed Feasibility'!$B$153,'Detailed Feasibility'!$F$65:$F$86,'Detailed Feasibility'!G116)+SUMIFS($O$65:$O$86,$C$65:$C$86,$B$153,$G$65:$G$86,G116)+SUMIFS($P$65:$P$86,$C$65:$C$86,$B$153,$H$65:$H$86,G116))</f>
        <v>0</v>
      </c>
      <c r="H153" s="548">
        <f>IF(H116="","",SUMIFS('Detailed Feasibility'!$N$65:$N$86,$C$65:$C$86,'Detailed Feasibility'!$B$153,'Detailed Feasibility'!$F$65:$F$86,'Detailed Feasibility'!H116)+SUMIFS($O$65:$O$86,$C$65:$C$86,$B$153,$G$65:$G$86,H116)+SUMIFS($P$65:$P$86,$C$65:$C$86,$B$153,$H$65:$H$86,H116))</f>
        <v>0</v>
      </c>
      <c r="I153" s="548">
        <f>IF(I116="","",SUMIFS('Detailed Feasibility'!$N$65:$N$86,$C$65:$C$86,'Detailed Feasibility'!$B$153,'Detailed Feasibility'!$F$65:$F$86,'Detailed Feasibility'!I116)+SUMIFS($O$65:$O$86,$C$65:$C$86,$B$153,$G$65:$G$86,I116)+SUMIFS($P$65:$P$86,$C$65:$C$86,$B$153,$H$65:$H$86,I116))</f>
        <v>0</v>
      </c>
      <c r="J153" s="548">
        <f>IF(J116="","",SUMIFS('Detailed Feasibility'!$N$65:$N$86,$C$65:$C$86,'Detailed Feasibility'!$B$153,'Detailed Feasibility'!$F$65:$F$86,'Detailed Feasibility'!J116)+SUMIFS($O$65:$O$86,$C$65:$C$86,$B$153,$G$65:$G$86,J116)+SUMIFS($P$65:$P$86,$C$65:$C$86,$B$153,$H$65:$H$86,J116))</f>
        <v>0</v>
      </c>
      <c r="K153" s="548">
        <f>IF(K116="","",SUMIFS('Detailed Feasibility'!$N$65:$N$86,$C$65:$C$86,'Detailed Feasibility'!$B$153,'Detailed Feasibility'!$F$65:$F$86,'Detailed Feasibility'!K116)+SUMIFS($O$65:$O$86,$C$65:$C$86,$B$153,$G$65:$G$86,K116)+SUMIFS($P$65:$P$86,$C$65:$C$86,$B$153,$H$65:$H$86,K116))</f>
        <v>0</v>
      </c>
      <c r="L153" s="548">
        <f>IF(L116="","",SUMIFS('Detailed Feasibility'!$N$65:$N$86,$C$65:$C$86,'Detailed Feasibility'!$B$153,'Detailed Feasibility'!$F$65:$F$86,'Detailed Feasibility'!L116)+SUMIFS($O$65:$O$86,$C$65:$C$86,$B$153,$G$65:$G$86,L116)+SUMIFS($P$65:$P$86,$C$65:$C$86,$B$153,$H$65:$H$86,L116))</f>
        <v>0</v>
      </c>
      <c r="M153" s="548">
        <f>IF(M116="","",SUMIFS('Detailed Feasibility'!$N$65:$N$86,$C$65:$C$86,'Detailed Feasibility'!$B$153,'Detailed Feasibility'!$F$65:$F$86,'Detailed Feasibility'!M116)+SUMIFS($O$65:$O$86,$C$65:$C$86,$B$153,$G$65:$G$86,M116)+SUMIFS($P$65:$P$86,$C$65:$C$86,$B$153,$H$65:$H$86,M116))</f>
        <v>0</v>
      </c>
      <c r="N153" s="548">
        <f>IF(N116="","",SUMIFS('Detailed Feasibility'!$N$65:$N$86,$C$65:$C$86,'Detailed Feasibility'!$B$153,'Detailed Feasibility'!$F$65:$F$86,'Detailed Feasibility'!N116)+SUMIFS($O$65:$O$86,$C$65:$C$86,$B$153,$G$65:$G$86,N116)+SUMIFS($P$65:$P$86,$C$65:$C$86,$B$153,$H$65:$H$86,N116))</f>
        <v>0</v>
      </c>
      <c r="O153" s="548">
        <f>IF(O116="","",SUMIFS('Detailed Feasibility'!$N$65:$N$86,$C$65:$C$86,'Detailed Feasibility'!$B$153,'Detailed Feasibility'!$F$65:$F$86,'Detailed Feasibility'!O116)+SUMIFS($O$65:$O$86,$C$65:$C$86,$B$153,$G$65:$G$86,O116)+SUMIFS($P$65:$P$86,$C$65:$C$86,$B$153,$H$65:$H$86,O116))</f>
        <v>0</v>
      </c>
      <c r="P153" s="548">
        <f>IF(P116="","",SUMIFS('Detailed Feasibility'!$N$65:$N$86,$C$65:$C$86,'Detailed Feasibility'!$B$153,'Detailed Feasibility'!$F$65:$F$86,'Detailed Feasibility'!P116)+SUMIFS($O$65:$O$86,$C$65:$C$86,$B$153,$G$65:$G$86,P116)+SUMIFS($P$65:$P$86,$C$65:$C$86,$B$153,$H$65:$H$86,P116))</f>
        <v>0</v>
      </c>
      <c r="Q153" s="548">
        <f>IF(Q116="","",SUMIFS('Detailed Feasibility'!$N$65:$N$86,$C$65:$C$86,'Detailed Feasibility'!$B$153,'Detailed Feasibility'!$F$65:$F$86,'Detailed Feasibility'!Q116)+SUMIFS($O$65:$O$86,$C$65:$C$86,$B$153,$G$65:$G$86,Q116)+SUMIFS($P$65:$P$86,$C$65:$C$86,$B$153,$H$65:$H$86,Q116))</f>
        <v>0</v>
      </c>
      <c r="R153" s="548">
        <f>IF(R116="","",SUMIFS('Detailed Feasibility'!$N$65:$N$86,$C$65:$C$86,'Detailed Feasibility'!$B$153,'Detailed Feasibility'!$F$65:$F$86,'Detailed Feasibility'!R116)+SUMIFS($O$65:$O$86,$C$65:$C$86,$B$153,$G$65:$G$86,R116)+SUMIFS($P$65:$P$86,$C$65:$C$86,$B$153,$H$65:$H$86,R116))</f>
        <v>0</v>
      </c>
      <c r="S153" s="548">
        <f>IF(S116="","",SUMIFS('Detailed Feasibility'!$N$65:$N$86,$C$65:$C$86,'Detailed Feasibility'!$B$153,'Detailed Feasibility'!$F$65:$F$86,'Detailed Feasibility'!S116)+SUMIFS($O$65:$O$86,$C$65:$C$86,$B$153,$G$65:$G$86,S116)+SUMIFS($P$65:$P$86,$C$65:$C$86,$B$153,$H$65:$H$86,S116))</f>
        <v>65000</v>
      </c>
      <c r="T153" s="548">
        <f>IF(T116="","",SUMIFS('Detailed Feasibility'!$N$65:$N$86,$C$65:$C$86,'Detailed Feasibility'!$B$153,'Detailed Feasibility'!$F$65:$F$86,'Detailed Feasibility'!T116)+SUMIFS($O$65:$O$86,$C$65:$C$86,$B$153,$G$65:$G$86,T116)+SUMIFS($P$65:$P$86,$C$65:$C$86,$B$153,$H$65:$H$86,T116))</f>
        <v>0</v>
      </c>
      <c r="U153" s="548">
        <f>IF(U116="","",SUMIFS('Detailed Feasibility'!$N$65:$N$86,$C$65:$C$86,'Detailed Feasibility'!$B$153,'Detailed Feasibility'!$F$65:$F$86,'Detailed Feasibility'!U116)+SUMIFS($O$65:$O$86,$C$65:$C$86,$B$153,$G$65:$G$86,U116)+SUMIFS($P$65:$P$86,$C$65:$C$86,$B$153,$H$65:$H$86,U116))</f>
        <v>0</v>
      </c>
      <c r="V153" s="548">
        <f>IF(V116="","",SUMIFS('Detailed Feasibility'!$N$65:$N$86,$C$65:$C$86,'Detailed Feasibility'!$B$153,'Detailed Feasibility'!$F$65:$F$86,'Detailed Feasibility'!V116)+SUMIFS($O$65:$O$86,$C$65:$C$86,$B$153,$G$65:$G$86,V116)+SUMIFS($P$65:$P$86,$C$65:$C$86,$B$153,$H$65:$H$86,V116))</f>
        <v>65000</v>
      </c>
      <c r="W153" s="548">
        <f>IF(W116="","",SUMIFS('Detailed Feasibility'!$N$65:$N$86,$C$65:$C$86,'Detailed Feasibility'!$B$153,'Detailed Feasibility'!$F$65:$F$86,'Detailed Feasibility'!W116)+SUMIFS($O$65:$O$86,$C$65:$C$86,$B$153,$G$65:$G$86,W116)+SUMIFS($P$65:$P$86,$C$65:$C$86,$B$153,$H$65:$H$86,W116))</f>
        <v>65000</v>
      </c>
      <c r="X153" s="548">
        <f>IF(X116="","",SUMIFS('Detailed Feasibility'!$N$65:$N$86,$C$65:$C$86,'Detailed Feasibility'!$B$153,'Detailed Feasibility'!$F$65:$F$86,'Detailed Feasibility'!X116)+SUMIFS($O$65:$O$86,$C$65:$C$86,$B$153,$G$65:$G$86,X116)+SUMIFS($P$65:$P$86,$C$65:$C$86,$B$153,$H$65:$H$86,X116))</f>
        <v>0</v>
      </c>
      <c r="Y153" s="548">
        <f>IF(Y116="","",SUMIFS('Detailed Feasibility'!$N$65:$N$86,$C$65:$C$86,'Detailed Feasibility'!$B$153,'Detailed Feasibility'!$F$65:$F$86,'Detailed Feasibility'!Y116)+SUMIFS($O$65:$O$86,$C$65:$C$86,$B$153,$G$65:$G$86,Y116)+SUMIFS($P$65:$P$86,$C$65:$C$86,$B$153,$H$65:$H$86,Y116))</f>
        <v>0</v>
      </c>
      <c r="Z153" s="548">
        <f>IF(Z116="","",SUMIFS('Detailed Feasibility'!$N$65:$N$86,$C$65:$C$86,'Detailed Feasibility'!$B$153,'Detailed Feasibility'!$F$65:$F$86,'Detailed Feasibility'!Z116)+SUMIFS($O$65:$O$86,$C$65:$C$86,$B$153,$G$65:$G$86,Z116)+SUMIFS($P$65:$P$86,$C$65:$C$86,$B$153,$H$65:$H$86,Z116))</f>
        <v>260000</v>
      </c>
      <c r="AA153" s="548">
        <f>IF(AA116="","",SUMIFS('Detailed Feasibility'!$N$65:$N$86,$C$65:$C$86,'Detailed Feasibility'!$B$153,'Detailed Feasibility'!$F$65:$F$86,'Detailed Feasibility'!AA116)+SUMIFS($O$65:$O$86,$C$65:$C$86,$B$153,$G$65:$G$86,AA116)+SUMIFS($P$65:$P$86,$C$65:$C$86,$B$153,$H$65:$H$86,AA116))</f>
        <v>0</v>
      </c>
      <c r="AB153" s="548">
        <f>IF(AB116="","",SUMIFS('Detailed Feasibility'!$N$65:$N$86,$C$65:$C$86,'Detailed Feasibility'!$B$153,'Detailed Feasibility'!$F$65:$F$86,'Detailed Feasibility'!AB116)+SUMIFS($O$65:$O$86,$C$65:$C$86,$B$153,$G$65:$G$86,AB116)+SUMIFS($P$65:$P$86,$C$65:$C$86,$B$153,$H$65:$H$86,AB116))</f>
        <v>0</v>
      </c>
      <c r="AC153" s="548">
        <f>IF(AC116="","",SUMIFS('Detailed Feasibility'!$N$65:$N$86,$C$65:$C$86,'Detailed Feasibility'!$B$153,'Detailed Feasibility'!$F$65:$F$86,'Detailed Feasibility'!AC116)+SUMIFS($O$65:$O$86,$C$65:$C$86,$B$153,$G$65:$G$86,AC116)+SUMIFS($P$65:$P$86,$C$65:$C$86,$B$153,$H$65:$H$86,AC116))</f>
        <v>260000</v>
      </c>
      <c r="AD153" s="548">
        <f>IF(AD116="","",SUMIFS('Detailed Feasibility'!$N$65:$N$86,$C$65:$C$86,'Detailed Feasibility'!$B$153,'Detailed Feasibility'!$F$65:$F$86,'Detailed Feasibility'!AD116)+SUMIFS($O$65:$O$86,$C$65:$C$86,$B$153,$G$65:$G$86,AD116)+SUMIFS($P$65:$P$86,$C$65:$C$86,$B$153,$H$65:$H$86,AD116))</f>
        <v>260000</v>
      </c>
      <c r="AE153" s="548">
        <f>IF(AE116="","",SUMIFS('Detailed Feasibility'!$N$65:$N$86,$C$65:$C$86,'Detailed Feasibility'!$B$153,'Detailed Feasibility'!$F$65:$F$86,'Detailed Feasibility'!AE116)+SUMIFS($O$65:$O$86,$C$65:$C$86,$B$153,$G$65:$G$86,AE116)+SUMIFS($P$65:$P$86,$C$65:$C$86,$B$153,$H$65:$H$86,AE116))</f>
        <v>0</v>
      </c>
      <c r="AF153" s="548">
        <f>IF(AF116="","",SUMIFS('Detailed Feasibility'!$N$65:$N$86,$C$65:$C$86,'Detailed Feasibility'!$B$153,'Detailed Feasibility'!$F$65:$F$86,'Detailed Feasibility'!AF116)+SUMIFS($O$65:$O$86,$C$65:$C$86,$B$153,$G$65:$G$86,AF116)+SUMIFS($P$65:$P$86,$C$65:$C$86,$B$153,$H$65:$H$86,AF116))</f>
        <v>0</v>
      </c>
      <c r="AG153" s="548">
        <f>IF(AG116="","",SUMIFS('Detailed Feasibility'!$N$65:$N$86,$C$65:$C$86,'Detailed Feasibility'!$B$153,'Detailed Feasibility'!$F$65:$F$86,'Detailed Feasibility'!AG116)+SUMIFS($O$65:$O$86,$C$65:$C$86,$B$153,$G$65:$G$86,AG116)+SUMIFS($P$65:$P$86,$C$65:$C$86,$B$153,$H$65:$H$86,AG116))</f>
        <v>0</v>
      </c>
      <c r="AH153" s="548">
        <f>IF(AH116="","",SUMIFS('Detailed Feasibility'!$N$65:$N$86,$C$65:$C$86,'Detailed Feasibility'!$B$153,'Detailed Feasibility'!$F$65:$F$86,'Detailed Feasibility'!AH116)+SUMIFS($O$65:$O$86,$C$65:$C$86,$B$153,$G$65:$G$86,AH116)+SUMIFS($P$65:$P$86,$C$65:$C$86,$B$153,$H$65:$H$86,AH116))</f>
        <v>0</v>
      </c>
      <c r="AI153" s="548">
        <f>IF(AI116="","",SUMIFS('Detailed Feasibility'!$N$65:$N$86,$C$65:$C$86,'Detailed Feasibility'!$B$153,'Detailed Feasibility'!$F$65:$F$86,'Detailed Feasibility'!AI116)+SUMIFS($O$65:$O$86,$C$65:$C$86,$B$153,$G$65:$G$86,AI116)+SUMIFS($P$65:$P$86,$C$65:$C$86,$B$153,$H$65:$H$86,AI116))</f>
        <v>0</v>
      </c>
      <c r="AJ153" s="548">
        <f>IF(AJ116="","",SUMIFS('Detailed Feasibility'!$N$65:$N$86,$C$65:$C$86,'Detailed Feasibility'!$B$153,'Detailed Feasibility'!$F$65:$F$86,'Detailed Feasibility'!AJ116)+SUMIFS($O$65:$O$86,$C$65:$C$86,$B$153,$G$65:$G$86,AJ116)+SUMIFS($P$65:$P$86,$C$65:$C$86,$B$153,$H$65:$H$86,AJ116))</f>
        <v>0</v>
      </c>
      <c r="AK153" s="548">
        <f>IF(AK116="","",SUMIFS('Detailed Feasibility'!$N$65:$N$86,$C$65:$C$86,'Detailed Feasibility'!$B$153,'Detailed Feasibility'!$F$65:$F$86,'Detailed Feasibility'!AK116)+SUMIFS($O$65:$O$86,$C$65:$C$86,$B$153,$G$65:$G$86,AK116)+SUMIFS($P$65:$P$86,$C$65:$C$86,$B$153,$H$65:$H$86,AK116))</f>
        <v>0</v>
      </c>
      <c r="AL153" s="548">
        <f>IF(AL116="","",SUMIFS('Detailed Feasibility'!$N$65:$N$86,$C$65:$C$86,'Detailed Feasibility'!$B$153,'Detailed Feasibility'!$F$65:$F$86,'Detailed Feasibility'!AL116)+SUMIFS($O$65:$O$86,$C$65:$C$86,$B$153,$G$65:$G$86,AL116)+SUMIFS($P$65:$P$86,$C$65:$C$86,$B$153,$H$65:$H$86,AL116))</f>
        <v>0</v>
      </c>
      <c r="AM153" s="548">
        <f>IF(AM116="","",SUMIFS('Detailed Feasibility'!$N$65:$N$86,$C$65:$C$86,'Detailed Feasibility'!$B$153,'Detailed Feasibility'!$F$65:$F$86,'Detailed Feasibility'!AM116)+SUMIFS($O$65:$O$86,$C$65:$C$86,$B$153,$G$65:$G$86,AM116)+SUMIFS($P$65:$P$86,$C$65:$C$86,$B$153,$H$65:$H$86,AM116))</f>
        <v>0</v>
      </c>
      <c r="AN153" s="548">
        <f>IF(AN116="","",SUMIFS('Detailed Feasibility'!$N$65:$N$86,$C$65:$C$86,'Detailed Feasibility'!$B$153,'Detailed Feasibility'!$F$65:$F$86,'Detailed Feasibility'!AN116)+SUMIFS($O$65:$O$86,$C$65:$C$86,$B$153,$G$65:$G$86,AN116)+SUMIFS($P$65:$P$86,$C$65:$C$86,$B$153,$H$65:$H$86,AN116))</f>
        <v>0</v>
      </c>
      <c r="AO153" s="548">
        <f>IF(AO116="","",SUMIFS('Detailed Feasibility'!$N$65:$N$86,$C$65:$C$86,'Detailed Feasibility'!$B$153,'Detailed Feasibility'!$F$65:$F$86,'Detailed Feasibility'!AO116)+SUMIFS($O$65:$O$86,$C$65:$C$86,$B$153,$G$65:$G$86,AO116)+SUMIFS($P$65:$P$86,$C$65:$C$86,$B$153,$H$65:$H$86,AO116))</f>
        <v>0</v>
      </c>
      <c r="AP153" s="548">
        <f>IF(AP116="","",SUMIFS('Detailed Feasibility'!$N$65:$N$86,$C$65:$C$86,'Detailed Feasibility'!$B$153,'Detailed Feasibility'!$F$65:$F$86,'Detailed Feasibility'!AP116)+SUMIFS($O$65:$O$86,$C$65:$C$86,$B$153,$G$65:$G$86,AP116)+SUMIFS($P$65:$P$86,$C$65:$C$86,$B$153,$H$65:$H$86,AP116))</f>
        <v>0</v>
      </c>
      <c r="AQ153" s="548" t="str">
        <f>IF(AQ116="","",SUMIFS('Detailed Feasibility'!$N$65:$N$86,$C$65:$C$86,'Detailed Feasibility'!$B$153,'Detailed Feasibility'!$F$65:$F$86,'Detailed Feasibility'!AQ116)+SUMIFS($O$65:$O$86,$C$65:$C$86,$B$153,$G$65:$G$86,AQ116)+SUMIFS($P$65:$P$86,$C$65:$C$86,$B$153,$H$65:$H$86,AQ116))</f>
        <v/>
      </c>
      <c r="AR153" s="548" t="str">
        <f>IF(AR116="","",SUMIFS('Detailed Feasibility'!$N$65:$N$86,$C$65:$C$86,'Detailed Feasibility'!$B$153,'Detailed Feasibility'!$F$65:$F$86,'Detailed Feasibility'!AR116)+SUMIFS($O$65:$O$86,$C$65:$C$86,$B$153,$G$65:$G$86,AR116)+SUMIFS($P$65:$P$86,$C$65:$C$86,$B$153,$H$65:$H$86,AR116))</f>
        <v/>
      </c>
      <c r="AS153" s="548" t="str">
        <f>IF(AS116="","",SUMIFS('Detailed Feasibility'!$N$65:$N$86,$C$65:$C$86,'Detailed Feasibility'!$B$153,'Detailed Feasibility'!$F$65:$F$86,'Detailed Feasibility'!AS116)+SUMIFS($O$65:$O$86,$C$65:$C$86,$B$153,$G$65:$G$86,AS116)+SUMIFS($P$65:$P$86,$C$65:$C$86,$B$153,$H$65:$H$86,AS116))</f>
        <v/>
      </c>
      <c r="AT153" s="548" t="str">
        <f>IF(AT116="","",SUMIFS('Detailed Feasibility'!$N$65:$N$86,$C$65:$C$86,'Detailed Feasibility'!$B$153,'Detailed Feasibility'!$F$65:$F$86,'Detailed Feasibility'!AT116)+SUMIFS($O$65:$O$86,$C$65:$C$86,$B$153,$G$65:$G$86,AT116)+SUMIFS($P$65:$P$86,$C$65:$C$86,$B$153,$H$65:$H$86,AT116))</f>
        <v/>
      </c>
      <c r="AU153" s="548" t="str">
        <f>IF(AU116="","",SUMIFS('Detailed Feasibility'!$N$65:$N$86,$C$65:$C$86,'Detailed Feasibility'!$B$153,'Detailed Feasibility'!$F$65:$F$86,'Detailed Feasibility'!AU116)+SUMIFS($O$65:$O$86,$C$65:$C$86,$B$153,$G$65:$G$86,AU116)+SUMIFS($P$65:$P$86,$C$65:$C$86,$B$153,$H$65:$H$86,AU116))</f>
        <v/>
      </c>
      <c r="AV153" s="548" t="str">
        <f>IF(AV116="","",SUMIFS('Detailed Feasibility'!$N$65:$N$86,$C$65:$C$86,'Detailed Feasibility'!$B$153,'Detailed Feasibility'!$F$65:$F$86,'Detailed Feasibility'!AV116)+SUMIFS($O$65:$O$86,$C$65:$C$86,$B$153,$G$65:$G$86,AV116)+SUMIFS($P$65:$P$86,$C$65:$C$86,$B$153,$H$65:$H$86,AV116))</f>
        <v/>
      </c>
      <c r="AW153" s="548" t="str">
        <f>IF(AW116="","",SUMIFS('Detailed Feasibility'!$N$65:$N$86,$C$65:$C$86,'Detailed Feasibility'!$B$153,'Detailed Feasibility'!$F$65:$F$86,'Detailed Feasibility'!AW116)+SUMIFS($O$65:$O$86,$C$65:$C$86,$B$153,$G$65:$G$86,AW116)+SUMIFS($P$65:$P$86,$C$65:$C$86,$B$153,$H$65:$H$86,AW116))</f>
        <v/>
      </c>
      <c r="AX153" s="548" t="str">
        <f>IF(AX116="","",SUMIFS('Detailed Feasibility'!$N$65:$N$86,$C$65:$C$86,'Detailed Feasibility'!$B$153,'Detailed Feasibility'!$F$65:$F$86,'Detailed Feasibility'!AX116)+SUMIFS($O$65:$O$86,$C$65:$C$86,$B$153,$G$65:$G$86,AX116)+SUMIFS($P$65:$P$86,$C$65:$C$86,$B$153,$H$65:$H$86,AX116))</f>
        <v/>
      </c>
      <c r="AY153" s="548" t="str">
        <f>IF(AY116="","",SUMIFS('Detailed Feasibility'!$N$65:$N$86,$C$65:$C$86,'Detailed Feasibility'!$B$153,'Detailed Feasibility'!$F$65:$F$86,'Detailed Feasibility'!AY116)+SUMIFS($O$65:$O$86,$C$65:$C$86,$B$153,$G$65:$G$86,AY116)+SUMIFS($P$65:$P$86,$C$65:$C$86,$B$153,$H$65:$H$86,AY116))</f>
        <v/>
      </c>
      <c r="AZ153" s="548" t="str">
        <f>IF(AZ116="","",SUMIFS('Detailed Feasibility'!$N$65:$N$86,$C$65:$C$86,'Detailed Feasibility'!$B$153,'Detailed Feasibility'!$F$65:$F$86,'Detailed Feasibility'!AZ116)+SUMIFS($O$65:$O$86,$C$65:$C$86,$B$153,$G$65:$G$86,AZ116)+SUMIFS($P$65:$P$86,$C$65:$C$86,$B$153,$H$65:$H$86,AZ116))</f>
        <v/>
      </c>
      <c r="BA153" s="548" t="str">
        <f>IF(BA116="","",SUMIFS('Detailed Feasibility'!$N$65:$N$86,$C$65:$C$86,'Detailed Feasibility'!$B$153,'Detailed Feasibility'!$F$65:$F$86,'Detailed Feasibility'!BA116)+SUMIFS($O$65:$O$86,$C$65:$C$86,$B$153,$G$65:$G$86,BA116)+SUMIFS($P$65:$P$86,$C$65:$C$86,$B$153,$H$65:$H$86,BA116))</f>
        <v/>
      </c>
      <c r="BB153" s="548" t="str">
        <f>IF(BB116="","",SUMIFS('Detailed Feasibility'!$N$65:$N$86,$C$65:$C$86,'Detailed Feasibility'!$B$153,'Detailed Feasibility'!$F$65:$F$86,'Detailed Feasibility'!BB116)+SUMIFS($O$65:$O$86,$C$65:$C$86,$B$153,$G$65:$G$86,BB116)+SUMIFS($P$65:$P$86,$C$65:$C$86,$B$153,$H$65:$H$86,BB116))</f>
        <v/>
      </c>
      <c r="BC153" s="548" t="str">
        <f>IF(BC116="","",SUMIFS('Detailed Feasibility'!$N$65:$N$86,$C$65:$C$86,'Detailed Feasibility'!$B$153,'Detailed Feasibility'!$F$65:$F$86,'Detailed Feasibility'!BC116)+SUMIFS($O$65:$O$86,$C$65:$C$86,$B$153,$G$65:$G$86,BC116)+SUMIFS($P$65:$P$86,$C$65:$C$86,$B$153,$H$65:$H$86,BC116))</f>
        <v/>
      </c>
      <c r="BD153" s="548" t="str">
        <f>IF(BD116="","",SUMIFS('Detailed Feasibility'!$N$65:$N$86,$C$65:$C$86,'Detailed Feasibility'!$B$153,'Detailed Feasibility'!$F$65:$F$86,'Detailed Feasibility'!BD116)+SUMIFS($O$65:$O$86,$C$65:$C$86,$B$153,$G$65:$G$86,BD116)+SUMIFS($P$65:$P$86,$C$65:$C$86,$B$153,$H$65:$H$86,BD116))</f>
        <v/>
      </c>
      <c r="BE153" s="548" t="str">
        <f>IF(BE116="","",SUMIFS('Detailed Feasibility'!$N$65:$N$86,$C$65:$C$86,'Detailed Feasibility'!$B$153,'Detailed Feasibility'!$F$65:$F$86,'Detailed Feasibility'!BE116)+SUMIFS($O$65:$O$86,$C$65:$C$86,$B$153,$G$65:$G$86,BE116)+SUMIFS($P$65:$P$86,$C$65:$C$86,$B$153,$H$65:$H$86,BE116))</f>
        <v/>
      </c>
      <c r="BF153" s="548" t="str">
        <f>IF(BF116="","",SUMIFS('Detailed Feasibility'!$N$65:$N$86,$C$65:$C$86,'Detailed Feasibility'!$B$153,'Detailed Feasibility'!$F$65:$F$86,'Detailed Feasibility'!BF116)+SUMIFS($O$65:$O$86,$C$65:$C$86,$B$153,$G$65:$G$86,BF116)+SUMIFS($P$65:$P$86,$C$65:$C$86,$B$153,$H$65:$H$86,BF116))</f>
        <v/>
      </c>
      <c r="BG153" s="548" t="str">
        <f>IF(BG116="","",SUMIFS('Detailed Feasibility'!$N$65:$N$86,$C$65:$C$86,'Detailed Feasibility'!$B$153,'Detailed Feasibility'!$F$65:$F$86,'Detailed Feasibility'!BG116)+SUMIFS($O$65:$O$86,$C$65:$C$86,$B$153,$G$65:$G$86,BG116)+SUMIFS($P$65:$P$86,$C$65:$C$86,$B$153,$H$65:$H$86,BG116))</f>
        <v/>
      </c>
      <c r="BH153" s="548" t="str">
        <f>IF(BH116="","",SUMIFS('Detailed Feasibility'!$N$65:$N$86,$C$65:$C$86,'Detailed Feasibility'!$B$153,'Detailed Feasibility'!$F$65:$F$86,'Detailed Feasibility'!BH116)+SUMIFS($O$65:$O$86,$C$65:$C$86,$B$153,$G$65:$G$86,BH116)+SUMIFS($P$65:$P$86,$C$65:$C$86,$B$153,$H$65:$H$86,BH116))</f>
        <v/>
      </c>
      <c r="BI153" s="548" t="str">
        <f>IF(BI116="","",SUMIFS('Detailed Feasibility'!$N$65:$N$86,$C$65:$C$86,'Detailed Feasibility'!$B$153,'Detailed Feasibility'!$F$65:$F$86,'Detailed Feasibility'!BI116)+SUMIFS($O$65:$O$86,$C$65:$C$86,$B$153,$G$65:$G$86,BI116)+SUMIFS($P$65:$P$86,$C$65:$C$86,$B$153,$H$65:$H$86,BI116))</f>
        <v/>
      </c>
      <c r="BJ153" s="548" t="str">
        <f>IF(BJ116="","",SUMIFS('Detailed Feasibility'!$N$65:$N$86,$C$65:$C$86,'Detailed Feasibility'!$B$153,'Detailed Feasibility'!$F$65:$F$86,'Detailed Feasibility'!BJ116)+SUMIFS($O$65:$O$86,$C$65:$C$86,$B$153,$G$65:$G$86,BJ116)+SUMIFS($P$65:$P$86,$C$65:$C$86,$B$153,$H$65:$H$86,BJ116))</f>
        <v/>
      </c>
      <c r="BK153" s="548" t="str">
        <f>IF(BK116="","",SUMIFS('Detailed Feasibility'!$N$65:$N$86,$C$65:$C$86,'Detailed Feasibility'!$B$153,'Detailed Feasibility'!$F$65:$F$86,'Detailed Feasibility'!BK116)+SUMIFS($O$65:$O$86,$C$65:$C$86,$B$153,$G$65:$G$86,BK116)+SUMIFS($P$65:$P$86,$C$65:$C$86,$B$153,$H$65:$H$86,BK116))</f>
        <v/>
      </c>
      <c r="BL153" s="548" t="str">
        <f>IF(BL116="","",SUMIFS('Detailed Feasibility'!$N$65:$N$86,$C$65:$C$86,'Detailed Feasibility'!$B$153,'Detailed Feasibility'!$F$65:$F$86,'Detailed Feasibility'!BL116)+SUMIFS($O$65:$O$86,$C$65:$C$86,$B$153,$G$65:$G$86,BL116)+SUMIFS($P$65:$P$86,$C$65:$C$86,$B$153,$H$65:$H$86,BL116))</f>
        <v/>
      </c>
      <c r="BM153" s="56" t="str">
        <f>IF(BM116="","",SUMIFS('Detailed Feasibility'!$N$65:$N$86,$C$65:$C$86,'Detailed Feasibility'!$B$153,'Detailed Feasibility'!$F$65:$F$86,'Detailed Feasibility'!BM116)+SUMIFS($O$65:$O$86,$C$65:$C$86,$B$153,$G$65:$G$86,BM116)+SUMIFS($P$65:$P$86,$C$65:$C$86,$B$153,$H$65:$H$86,BM116))</f>
        <v/>
      </c>
    </row>
    <row r="154" spans="2:65" s="1" customFormat="1" x14ac:dyDescent="0.25">
      <c r="B154" s="547" t="str">
        <f t="shared" si="29"/>
        <v>3 Bed</v>
      </c>
      <c r="C154" s="187"/>
      <c r="D154" s="20">
        <f>'Detailed Feasibility Inputs'!$F$55</f>
        <v>1080000</v>
      </c>
      <c r="E154" s="187">
        <f t="shared" si="30"/>
        <v>1</v>
      </c>
      <c r="F154" s="548">
        <f>SUMIFS('Detailed Feasibility'!$N$65:$N$86,$C$65:$C$86,'Detailed Feasibility'!$B$154,'Detailed Feasibility'!$F$65:$F$86,'Detailed Feasibility'!F116)+SUMIFS($O$65:$O$86,$C$65:$C$86,$B$154,$G$65:$G$86,F116)+SUMIFS($P$65:$P$86,$C$65:$C$86,$B$154,$H$65:$H$86,F116)</f>
        <v>0</v>
      </c>
      <c r="G154" s="548">
        <f>IF(G116="","",SUMIFS('Detailed Feasibility'!$N$65:$N$86,$C$65:$C$86,'Detailed Feasibility'!$B$154,'Detailed Feasibility'!$F$65:$F$86,'Detailed Feasibility'!G116)+SUMIFS($O$65:$O$86,$C$65:$C$86,$B$154,$G$65:$G$86,G116)+SUMIFS($P$65:$P$86,$C$65:$C$86,$B$154,$H$65:$H$86,G116))</f>
        <v>0</v>
      </c>
      <c r="H154" s="548">
        <f>IF(H116="","",SUMIFS('Detailed Feasibility'!$N$65:$N$86,$C$65:$C$86,'Detailed Feasibility'!$B$154,'Detailed Feasibility'!$F$65:$F$86,'Detailed Feasibility'!H116)+SUMIFS($O$65:$O$86,$C$65:$C$86,$B$154,$G$65:$G$86,H116)+SUMIFS($P$65:$P$86,$C$65:$C$86,$B$154,$H$65:$H$86,H116))</f>
        <v>0</v>
      </c>
      <c r="I154" s="548">
        <f>IF(I116="","",SUMIFS('Detailed Feasibility'!$N$65:$N$86,$C$65:$C$86,'Detailed Feasibility'!$B$154,'Detailed Feasibility'!$F$65:$F$86,'Detailed Feasibility'!I116)+SUMIFS($O$65:$O$86,$C$65:$C$86,$B$154,$G$65:$G$86,I116)+SUMIFS($P$65:$P$86,$C$65:$C$86,$B$154,$H$65:$H$86,I116))</f>
        <v>0</v>
      </c>
      <c r="J154" s="548">
        <f>IF(J116="","",SUMIFS('Detailed Feasibility'!$N$65:$N$86,$C$65:$C$86,'Detailed Feasibility'!$B$154,'Detailed Feasibility'!$F$65:$F$86,'Detailed Feasibility'!J116)+SUMIFS($O$65:$O$86,$C$65:$C$86,$B$154,$G$65:$G$86,J116)+SUMIFS($P$65:$P$86,$C$65:$C$86,$B$154,$H$65:$H$86,J116))</f>
        <v>0</v>
      </c>
      <c r="K154" s="548">
        <f>IF(K116="","",SUMIFS('Detailed Feasibility'!$N$65:$N$86,$C$65:$C$86,'Detailed Feasibility'!$B$154,'Detailed Feasibility'!$F$65:$F$86,'Detailed Feasibility'!K116)+SUMIFS($O$65:$O$86,$C$65:$C$86,$B$154,$G$65:$G$86,K116)+SUMIFS($P$65:$P$86,$C$65:$C$86,$B$154,$H$65:$H$86,K116))</f>
        <v>0</v>
      </c>
      <c r="L154" s="548">
        <f>IF(L116="","",SUMIFS('Detailed Feasibility'!$N$65:$N$86,$C$65:$C$86,'Detailed Feasibility'!$B$154,'Detailed Feasibility'!$F$65:$F$86,'Detailed Feasibility'!L116)+SUMIFS($O$65:$O$86,$C$65:$C$86,$B$154,$G$65:$G$86,L116)+SUMIFS($P$65:$P$86,$C$65:$C$86,$B$154,$H$65:$H$86,L116))</f>
        <v>0</v>
      </c>
      <c r="M154" s="548">
        <f>IF(M116="","",SUMIFS('Detailed Feasibility'!$N$65:$N$86,$C$65:$C$86,'Detailed Feasibility'!$B$154,'Detailed Feasibility'!$F$65:$F$86,'Detailed Feasibility'!M116)+SUMIFS($O$65:$O$86,$C$65:$C$86,$B$154,$G$65:$G$86,M116)+SUMIFS($P$65:$P$86,$C$65:$C$86,$B$154,$H$65:$H$86,M116))</f>
        <v>0</v>
      </c>
      <c r="N154" s="548">
        <f>IF(N116="","",SUMIFS('Detailed Feasibility'!$N$65:$N$86,$C$65:$C$86,'Detailed Feasibility'!$B$154,'Detailed Feasibility'!$F$65:$F$86,'Detailed Feasibility'!N116)+SUMIFS($O$65:$O$86,$C$65:$C$86,$B$154,$G$65:$G$86,N116)+SUMIFS($P$65:$P$86,$C$65:$C$86,$B$154,$H$65:$H$86,N116))</f>
        <v>0</v>
      </c>
      <c r="O154" s="548">
        <f>IF(O116="","",SUMIFS('Detailed Feasibility'!$N$65:$N$86,$C$65:$C$86,'Detailed Feasibility'!$B$154,'Detailed Feasibility'!$F$65:$F$86,'Detailed Feasibility'!O116)+SUMIFS($O$65:$O$86,$C$65:$C$86,$B$154,$G$65:$G$86,O116)+SUMIFS($P$65:$P$86,$C$65:$C$86,$B$154,$H$65:$H$86,O116))</f>
        <v>0</v>
      </c>
      <c r="P154" s="548">
        <f>IF(P116="","",SUMIFS('Detailed Feasibility'!$N$65:$N$86,$C$65:$C$86,'Detailed Feasibility'!$B$154,'Detailed Feasibility'!$F$65:$F$86,'Detailed Feasibility'!P116)+SUMIFS($O$65:$O$86,$C$65:$C$86,$B$154,$G$65:$G$86,P116)+SUMIFS($P$65:$P$86,$C$65:$C$86,$B$154,$H$65:$H$86,P116))</f>
        <v>0</v>
      </c>
      <c r="Q154" s="548">
        <f>IF(Q116="","",SUMIFS('Detailed Feasibility'!$N$65:$N$86,$C$65:$C$86,'Detailed Feasibility'!$B$154,'Detailed Feasibility'!$F$65:$F$86,'Detailed Feasibility'!Q116)+SUMIFS($O$65:$O$86,$C$65:$C$86,$B$154,$G$65:$G$86,Q116)+SUMIFS($P$65:$P$86,$C$65:$C$86,$B$154,$H$65:$H$86,Q116))</f>
        <v>0</v>
      </c>
      <c r="R154" s="548">
        <f>IF(R116="","",SUMIFS('Detailed Feasibility'!$N$65:$N$86,$C$65:$C$86,'Detailed Feasibility'!$B$154,'Detailed Feasibility'!$F$65:$F$86,'Detailed Feasibility'!R116)+SUMIFS($O$65:$O$86,$C$65:$C$86,$B$154,$G$65:$G$86,R116)+SUMIFS($P$65:$P$86,$C$65:$C$86,$B$154,$H$65:$H$86,R116))</f>
        <v>0</v>
      </c>
      <c r="S154" s="548">
        <f>IF(S116="","",SUMIFS('Detailed Feasibility'!$N$65:$N$86,$C$65:$C$86,'Detailed Feasibility'!$B$154,'Detailed Feasibility'!$F$65:$F$86,'Detailed Feasibility'!S116)+SUMIFS($O$65:$O$86,$C$65:$C$86,$B$154,$G$65:$G$86,S116)+SUMIFS($P$65:$P$86,$C$65:$C$86,$B$154,$H$65:$H$86,S116))</f>
        <v>180000</v>
      </c>
      <c r="T154" s="548">
        <f>IF(T116="","",SUMIFS('Detailed Feasibility'!$N$65:$N$86,$C$65:$C$86,'Detailed Feasibility'!$B$154,'Detailed Feasibility'!$F$65:$F$86,'Detailed Feasibility'!T116)+SUMIFS($O$65:$O$86,$C$65:$C$86,$B$154,$G$65:$G$86,T116)+SUMIFS($P$65:$P$86,$C$65:$C$86,$B$154,$H$65:$H$86,T116))</f>
        <v>0</v>
      </c>
      <c r="U154" s="548">
        <f>IF(U116="","",SUMIFS('Detailed Feasibility'!$N$65:$N$86,$C$65:$C$86,'Detailed Feasibility'!$B$154,'Detailed Feasibility'!$F$65:$F$86,'Detailed Feasibility'!U116)+SUMIFS($O$65:$O$86,$C$65:$C$86,$B$154,$G$65:$G$86,U116)+SUMIFS($P$65:$P$86,$C$65:$C$86,$B$154,$H$65:$H$86,U116))</f>
        <v>0</v>
      </c>
      <c r="V154" s="548">
        <f>IF(V116="","",SUMIFS('Detailed Feasibility'!$N$65:$N$86,$C$65:$C$86,'Detailed Feasibility'!$B$154,'Detailed Feasibility'!$F$65:$F$86,'Detailed Feasibility'!V116)+SUMIFS($O$65:$O$86,$C$65:$C$86,$B$154,$G$65:$G$86,V116)+SUMIFS($P$65:$P$86,$C$65:$C$86,$B$154,$H$65:$H$86,V116))</f>
        <v>180000</v>
      </c>
      <c r="W154" s="548">
        <f>IF(W116="","",SUMIFS('Detailed Feasibility'!$N$65:$N$86,$C$65:$C$86,'Detailed Feasibility'!$B$154,'Detailed Feasibility'!$F$65:$F$86,'Detailed Feasibility'!W116)+SUMIFS($O$65:$O$86,$C$65:$C$86,$B$154,$G$65:$G$86,W116)+SUMIFS($P$65:$P$86,$C$65:$C$86,$B$154,$H$65:$H$86,W116))</f>
        <v>180000</v>
      </c>
      <c r="X154" s="548">
        <f>IF(X116="","",SUMIFS('Detailed Feasibility'!$N$65:$N$86,$C$65:$C$86,'Detailed Feasibility'!$B$154,'Detailed Feasibility'!$F$65:$F$86,'Detailed Feasibility'!X116)+SUMIFS($O$65:$O$86,$C$65:$C$86,$B$154,$G$65:$G$86,X116)+SUMIFS($P$65:$P$86,$C$65:$C$86,$B$154,$H$65:$H$86,X116))</f>
        <v>0</v>
      </c>
      <c r="Y154" s="548">
        <f>IF(Y116="","",SUMIFS('Detailed Feasibility'!$N$65:$N$86,$C$65:$C$86,'Detailed Feasibility'!$B$154,'Detailed Feasibility'!$F$65:$F$86,'Detailed Feasibility'!Y116)+SUMIFS($O$65:$O$86,$C$65:$C$86,$B$154,$G$65:$G$86,Y116)+SUMIFS($P$65:$P$86,$C$65:$C$86,$B$154,$H$65:$H$86,Y116))</f>
        <v>0</v>
      </c>
      <c r="Z154" s="548">
        <f>IF(Z116="","",SUMIFS('Detailed Feasibility'!$N$65:$N$86,$C$65:$C$86,'Detailed Feasibility'!$B$154,'Detailed Feasibility'!$F$65:$F$86,'Detailed Feasibility'!Z116)+SUMIFS($O$65:$O$86,$C$65:$C$86,$B$154,$G$65:$G$86,Z116)+SUMIFS($P$65:$P$86,$C$65:$C$86,$B$154,$H$65:$H$86,Z116))</f>
        <v>180000</v>
      </c>
      <c r="AA154" s="548">
        <f>IF(AA116="","",SUMIFS('Detailed Feasibility'!$N$65:$N$86,$C$65:$C$86,'Detailed Feasibility'!$B$154,'Detailed Feasibility'!$F$65:$F$86,'Detailed Feasibility'!AA116)+SUMIFS($O$65:$O$86,$C$65:$C$86,$B$154,$G$65:$G$86,AA116)+SUMIFS($P$65:$P$86,$C$65:$C$86,$B$154,$H$65:$H$86,AA116))</f>
        <v>0</v>
      </c>
      <c r="AB154" s="548">
        <f>IF(AB116="","",SUMIFS('Detailed Feasibility'!$N$65:$N$86,$C$65:$C$86,'Detailed Feasibility'!$B$154,'Detailed Feasibility'!$F$65:$F$86,'Detailed Feasibility'!AB116)+SUMIFS($O$65:$O$86,$C$65:$C$86,$B$154,$G$65:$G$86,AB116)+SUMIFS($P$65:$P$86,$C$65:$C$86,$B$154,$H$65:$H$86,AB116))</f>
        <v>0</v>
      </c>
      <c r="AC154" s="548">
        <f>IF(AC116="","",SUMIFS('Detailed Feasibility'!$N$65:$N$86,$C$65:$C$86,'Detailed Feasibility'!$B$154,'Detailed Feasibility'!$F$65:$F$86,'Detailed Feasibility'!AC116)+SUMIFS($O$65:$O$86,$C$65:$C$86,$B$154,$G$65:$G$86,AC116)+SUMIFS($P$65:$P$86,$C$65:$C$86,$B$154,$H$65:$H$86,AC116))</f>
        <v>180000</v>
      </c>
      <c r="AD154" s="548">
        <f>IF(AD116="","",SUMIFS('Detailed Feasibility'!$N$65:$N$86,$C$65:$C$86,'Detailed Feasibility'!$B$154,'Detailed Feasibility'!$F$65:$F$86,'Detailed Feasibility'!AD116)+SUMIFS($O$65:$O$86,$C$65:$C$86,$B$154,$G$65:$G$86,AD116)+SUMIFS($P$65:$P$86,$C$65:$C$86,$B$154,$H$65:$H$86,AD116))</f>
        <v>180000</v>
      </c>
      <c r="AE154" s="548">
        <f>IF(AE116="","",SUMIFS('Detailed Feasibility'!$N$65:$N$86,$C$65:$C$86,'Detailed Feasibility'!$B$154,'Detailed Feasibility'!$F$65:$F$86,'Detailed Feasibility'!AE116)+SUMIFS($O$65:$O$86,$C$65:$C$86,$B$154,$G$65:$G$86,AE116)+SUMIFS($P$65:$P$86,$C$65:$C$86,$B$154,$H$65:$H$86,AE116))</f>
        <v>0</v>
      </c>
      <c r="AF154" s="548">
        <f>IF(AF116="","",SUMIFS('Detailed Feasibility'!$N$65:$N$86,$C$65:$C$86,'Detailed Feasibility'!$B$154,'Detailed Feasibility'!$F$65:$F$86,'Detailed Feasibility'!AF116)+SUMIFS($O$65:$O$86,$C$65:$C$86,$B$154,$G$65:$G$86,AF116)+SUMIFS($P$65:$P$86,$C$65:$C$86,$B$154,$H$65:$H$86,AF116))</f>
        <v>0</v>
      </c>
      <c r="AG154" s="548">
        <f>IF(AG116="","",SUMIFS('Detailed Feasibility'!$N$65:$N$86,$C$65:$C$86,'Detailed Feasibility'!$B$154,'Detailed Feasibility'!$F$65:$F$86,'Detailed Feasibility'!AG116)+SUMIFS($O$65:$O$86,$C$65:$C$86,$B$154,$G$65:$G$86,AG116)+SUMIFS($P$65:$P$86,$C$65:$C$86,$B$154,$H$65:$H$86,AG116))</f>
        <v>0</v>
      </c>
      <c r="AH154" s="548">
        <f>IF(AH116="","",SUMIFS('Detailed Feasibility'!$N$65:$N$86,$C$65:$C$86,'Detailed Feasibility'!$B$154,'Detailed Feasibility'!$F$65:$F$86,'Detailed Feasibility'!AH116)+SUMIFS($O$65:$O$86,$C$65:$C$86,$B$154,$G$65:$G$86,AH116)+SUMIFS($P$65:$P$86,$C$65:$C$86,$B$154,$H$65:$H$86,AH116))</f>
        <v>0</v>
      </c>
      <c r="AI154" s="548">
        <f>IF(AI116="","",SUMIFS('Detailed Feasibility'!$N$65:$N$86,$C$65:$C$86,'Detailed Feasibility'!$B$154,'Detailed Feasibility'!$F$65:$F$86,'Detailed Feasibility'!AI116)+SUMIFS($O$65:$O$86,$C$65:$C$86,$B$154,$G$65:$G$86,AI116)+SUMIFS($P$65:$P$86,$C$65:$C$86,$B$154,$H$65:$H$86,AI116))</f>
        <v>0</v>
      </c>
      <c r="AJ154" s="548">
        <f>IF(AJ116="","",SUMIFS('Detailed Feasibility'!$N$65:$N$86,$C$65:$C$86,'Detailed Feasibility'!$B$154,'Detailed Feasibility'!$F$65:$F$86,'Detailed Feasibility'!AJ116)+SUMIFS($O$65:$O$86,$C$65:$C$86,$B$154,$G$65:$G$86,AJ116)+SUMIFS($P$65:$P$86,$C$65:$C$86,$B$154,$H$65:$H$86,AJ116))</f>
        <v>0</v>
      </c>
      <c r="AK154" s="548">
        <f>IF(AK116="","",SUMIFS('Detailed Feasibility'!$N$65:$N$86,$C$65:$C$86,'Detailed Feasibility'!$B$154,'Detailed Feasibility'!$F$65:$F$86,'Detailed Feasibility'!AK116)+SUMIFS($O$65:$O$86,$C$65:$C$86,$B$154,$G$65:$G$86,AK116)+SUMIFS($P$65:$P$86,$C$65:$C$86,$B$154,$H$65:$H$86,AK116))</f>
        <v>0</v>
      </c>
      <c r="AL154" s="548">
        <f>IF(AL116="","",SUMIFS('Detailed Feasibility'!$N$65:$N$86,$C$65:$C$86,'Detailed Feasibility'!$B$154,'Detailed Feasibility'!$F$65:$F$86,'Detailed Feasibility'!AL116)+SUMIFS($O$65:$O$86,$C$65:$C$86,$B$154,$G$65:$G$86,AL116)+SUMIFS($P$65:$P$86,$C$65:$C$86,$B$154,$H$65:$H$86,AL116))</f>
        <v>0</v>
      </c>
      <c r="AM154" s="548">
        <f>IF(AM116="","",SUMIFS('Detailed Feasibility'!$N$65:$N$86,$C$65:$C$86,'Detailed Feasibility'!$B$154,'Detailed Feasibility'!$F$65:$F$86,'Detailed Feasibility'!AM116)+SUMIFS($O$65:$O$86,$C$65:$C$86,$B$154,$G$65:$G$86,AM116)+SUMIFS($P$65:$P$86,$C$65:$C$86,$B$154,$H$65:$H$86,AM116))</f>
        <v>0</v>
      </c>
      <c r="AN154" s="548">
        <f>IF(AN116="","",SUMIFS('Detailed Feasibility'!$N$65:$N$86,$C$65:$C$86,'Detailed Feasibility'!$B$154,'Detailed Feasibility'!$F$65:$F$86,'Detailed Feasibility'!AN116)+SUMIFS($O$65:$O$86,$C$65:$C$86,$B$154,$G$65:$G$86,AN116)+SUMIFS($P$65:$P$86,$C$65:$C$86,$B$154,$H$65:$H$86,AN116))</f>
        <v>0</v>
      </c>
      <c r="AO154" s="548">
        <f>IF(AO116="","",SUMIFS('Detailed Feasibility'!$N$65:$N$86,$C$65:$C$86,'Detailed Feasibility'!$B$154,'Detailed Feasibility'!$F$65:$F$86,'Detailed Feasibility'!AO116)+SUMIFS($O$65:$O$86,$C$65:$C$86,$B$154,$G$65:$G$86,AO116)+SUMIFS($P$65:$P$86,$C$65:$C$86,$B$154,$H$65:$H$86,AO116))</f>
        <v>0</v>
      </c>
      <c r="AP154" s="548">
        <f>IF(AP116="","",SUMIFS('Detailed Feasibility'!$N$65:$N$86,$C$65:$C$86,'Detailed Feasibility'!$B$154,'Detailed Feasibility'!$F$65:$F$86,'Detailed Feasibility'!AP116)+SUMIFS($O$65:$O$86,$C$65:$C$86,$B$154,$G$65:$G$86,AP116)+SUMIFS($P$65:$P$86,$C$65:$C$86,$B$154,$H$65:$H$86,AP116))</f>
        <v>0</v>
      </c>
      <c r="AQ154" s="548" t="str">
        <f>IF(AQ116="","",SUMIFS('Detailed Feasibility'!$N$65:$N$86,$C$65:$C$86,'Detailed Feasibility'!$B$154,'Detailed Feasibility'!$F$65:$F$86,'Detailed Feasibility'!AQ116)+SUMIFS($O$65:$O$86,$C$65:$C$86,$B$154,$G$65:$G$86,AQ116)+SUMIFS($P$65:$P$86,$C$65:$C$86,$B$154,$H$65:$H$86,AQ116))</f>
        <v/>
      </c>
      <c r="AR154" s="548" t="str">
        <f>IF(AR116="","",SUMIFS('Detailed Feasibility'!$N$65:$N$86,$C$65:$C$86,'Detailed Feasibility'!$B$154,'Detailed Feasibility'!$F$65:$F$86,'Detailed Feasibility'!AR116)+SUMIFS($O$65:$O$86,$C$65:$C$86,$B$154,$G$65:$G$86,AR116)+SUMIFS($P$65:$P$86,$C$65:$C$86,$B$154,$H$65:$H$86,AR116))</f>
        <v/>
      </c>
      <c r="AS154" s="548" t="str">
        <f>IF(AS116="","",SUMIFS('Detailed Feasibility'!$N$65:$N$86,$C$65:$C$86,'Detailed Feasibility'!$B$154,'Detailed Feasibility'!$F$65:$F$86,'Detailed Feasibility'!AS116)+SUMIFS($O$65:$O$86,$C$65:$C$86,$B$154,$G$65:$G$86,AS116)+SUMIFS($P$65:$P$86,$C$65:$C$86,$B$154,$H$65:$H$86,AS116))</f>
        <v/>
      </c>
      <c r="AT154" s="548" t="str">
        <f>IF(AT116="","",SUMIFS('Detailed Feasibility'!$N$65:$N$86,$C$65:$C$86,'Detailed Feasibility'!$B$154,'Detailed Feasibility'!$F$65:$F$86,'Detailed Feasibility'!AT116)+SUMIFS($O$65:$O$86,$C$65:$C$86,$B$154,$G$65:$G$86,AT116)+SUMIFS($P$65:$P$86,$C$65:$C$86,$B$154,$H$65:$H$86,AT116))</f>
        <v/>
      </c>
      <c r="AU154" s="548" t="str">
        <f>IF(AU116="","",SUMIFS('Detailed Feasibility'!$N$65:$N$86,$C$65:$C$86,'Detailed Feasibility'!$B$154,'Detailed Feasibility'!$F$65:$F$86,'Detailed Feasibility'!AU116)+SUMIFS($O$65:$O$86,$C$65:$C$86,$B$154,$G$65:$G$86,AU116)+SUMIFS($P$65:$P$86,$C$65:$C$86,$B$154,$H$65:$H$86,AU116))</f>
        <v/>
      </c>
      <c r="AV154" s="548" t="str">
        <f>IF(AV116="","",SUMIFS('Detailed Feasibility'!$N$65:$N$86,$C$65:$C$86,'Detailed Feasibility'!$B$154,'Detailed Feasibility'!$F$65:$F$86,'Detailed Feasibility'!AV116)+SUMIFS($O$65:$O$86,$C$65:$C$86,$B$154,$G$65:$G$86,AV116)+SUMIFS($P$65:$P$86,$C$65:$C$86,$B$154,$H$65:$H$86,AV116))</f>
        <v/>
      </c>
      <c r="AW154" s="548" t="str">
        <f>IF(AW116="","",SUMIFS('Detailed Feasibility'!$N$65:$N$86,$C$65:$C$86,'Detailed Feasibility'!$B$154,'Detailed Feasibility'!$F$65:$F$86,'Detailed Feasibility'!AW116)+SUMIFS($O$65:$O$86,$C$65:$C$86,$B$154,$G$65:$G$86,AW116)+SUMIFS($P$65:$P$86,$C$65:$C$86,$B$154,$H$65:$H$86,AW116))</f>
        <v/>
      </c>
      <c r="AX154" s="548" t="str">
        <f>IF(AX116="","",SUMIFS('Detailed Feasibility'!$N$65:$N$86,$C$65:$C$86,'Detailed Feasibility'!$B$154,'Detailed Feasibility'!$F$65:$F$86,'Detailed Feasibility'!AX116)+SUMIFS($O$65:$O$86,$C$65:$C$86,$B$154,$G$65:$G$86,AX116)+SUMIFS($P$65:$P$86,$C$65:$C$86,$B$154,$H$65:$H$86,AX116))</f>
        <v/>
      </c>
      <c r="AY154" s="548" t="str">
        <f>IF(AY116="","",SUMIFS('Detailed Feasibility'!$N$65:$N$86,$C$65:$C$86,'Detailed Feasibility'!$B$154,'Detailed Feasibility'!$F$65:$F$86,'Detailed Feasibility'!AY116)+SUMIFS($O$65:$O$86,$C$65:$C$86,$B$154,$G$65:$G$86,AY116)+SUMIFS($P$65:$P$86,$C$65:$C$86,$B$154,$H$65:$H$86,AY116))</f>
        <v/>
      </c>
      <c r="AZ154" s="548" t="str">
        <f>IF(AZ116="","",SUMIFS('Detailed Feasibility'!$N$65:$N$86,$C$65:$C$86,'Detailed Feasibility'!$B$154,'Detailed Feasibility'!$F$65:$F$86,'Detailed Feasibility'!AZ116)+SUMIFS($O$65:$O$86,$C$65:$C$86,$B$154,$G$65:$G$86,AZ116)+SUMIFS($P$65:$P$86,$C$65:$C$86,$B$154,$H$65:$H$86,AZ116))</f>
        <v/>
      </c>
      <c r="BA154" s="548" t="str">
        <f>IF(BA116="","",SUMIFS('Detailed Feasibility'!$N$65:$N$86,$C$65:$C$86,'Detailed Feasibility'!$B$154,'Detailed Feasibility'!$F$65:$F$86,'Detailed Feasibility'!BA116)+SUMIFS($O$65:$O$86,$C$65:$C$86,$B$154,$G$65:$G$86,BA116)+SUMIFS($P$65:$P$86,$C$65:$C$86,$B$154,$H$65:$H$86,BA116))</f>
        <v/>
      </c>
      <c r="BB154" s="548" t="str">
        <f>IF(BB116="","",SUMIFS('Detailed Feasibility'!$N$65:$N$86,$C$65:$C$86,'Detailed Feasibility'!$B$154,'Detailed Feasibility'!$F$65:$F$86,'Detailed Feasibility'!BB116)+SUMIFS($O$65:$O$86,$C$65:$C$86,$B$154,$G$65:$G$86,BB116)+SUMIFS($P$65:$P$86,$C$65:$C$86,$B$154,$H$65:$H$86,BB116))</f>
        <v/>
      </c>
      <c r="BC154" s="548" t="str">
        <f>IF(BC116="","",SUMIFS('Detailed Feasibility'!$N$65:$N$86,$C$65:$C$86,'Detailed Feasibility'!$B$154,'Detailed Feasibility'!$F$65:$F$86,'Detailed Feasibility'!BC116)+SUMIFS($O$65:$O$86,$C$65:$C$86,$B$154,$G$65:$G$86,BC116)+SUMIFS($P$65:$P$86,$C$65:$C$86,$B$154,$H$65:$H$86,BC116))</f>
        <v/>
      </c>
      <c r="BD154" s="548" t="str">
        <f>IF(BD116="","",SUMIFS('Detailed Feasibility'!$N$65:$N$86,$C$65:$C$86,'Detailed Feasibility'!$B$154,'Detailed Feasibility'!$F$65:$F$86,'Detailed Feasibility'!BD116)+SUMIFS($O$65:$O$86,$C$65:$C$86,$B$154,$G$65:$G$86,BD116)+SUMIFS($P$65:$P$86,$C$65:$C$86,$B$154,$H$65:$H$86,BD116))</f>
        <v/>
      </c>
      <c r="BE154" s="548" t="str">
        <f>IF(BE116="","",SUMIFS('Detailed Feasibility'!$N$65:$N$86,$C$65:$C$86,'Detailed Feasibility'!$B$154,'Detailed Feasibility'!$F$65:$F$86,'Detailed Feasibility'!BE116)+SUMIFS($O$65:$O$86,$C$65:$C$86,$B$154,$G$65:$G$86,BE116)+SUMIFS($P$65:$P$86,$C$65:$C$86,$B$154,$H$65:$H$86,BE116))</f>
        <v/>
      </c>
      <c r="BF154" s="548" t="str">
        <f>IF(BF116="","",SUMIFS('Detailed Feasibility'!$N$65:$N$86,$C$65:$C$86,'Detailed Feasibility'!$B$154,'Detailed Feasibility'!$F$65:$F$86,'Detailed Feasibility'!BF116)+SUMIFS($O$65:$O$86,$C$65:$C$86,$B$154,$G$65:$G$86,BF116)+SUMIFS($P$65:$P$86,$C$65:$C$86,$B$154,$H$65:$H$86,BF116))</f>
        <v/>
      </c>
      <c r="BG154" s="548" t="str">
        <f>IF(BG116="","",SUMIFS('Detailed Feasibility'!$N$65:$N$86,$C$65:$C$86,'Detailed Feasibility'!$B$154,'Detailed Feasibility'!$F$65:$F$86,'Detailed Feasibility'!BG116)+SUMIFS($O$65:$O$86,$C$65:$C$86,$B$154,$G$65:$G$86,BG116)+SUMIFS($P$65:$P$86,$C$65:$C$86,$B$154,$H$65:$H$86,BG116))</f>
        <v/>
      </c>
      <c r="BH154" s="548" t="str">
        <f>IF(BH116="","",SUMIFS('Detailed Feasibility'!$N$65:$N$86,$C$65:$C$86,'Detailed Feasibility'!$B$154,'Detailed Feasibility'!$F$65:$F$86,'Detailed Feasibility'!BH116)+SUMIFS($O$65:$O$86,$C$65:$C$86,$B$154,$G$65:$G$86,BH116)+SUMIFS($P$65:$P$86,$C$65:$C$86,$B$154,$H$65:$H$86,BH116))</f>
        <v/>
      </c>
      <c r="BI154" s="548" t="str">
        <f>IF(BI116="","",SUMIFS('Detailed Feasibility'!$N$65:$N$86,$C$65:$C$86,'Detailed Feasibility'!$B$154,'Detailed Feasibility'!$F$65:$F$86,'Detailed Feasibility'!BI116)+SUMIFS($O$65:$O$86,$C$65:$C$86,$B$154,$G$65:$G$86,BI116)+SUMIFS($P$65:$P$86,$C$65:$C$86,$B$154,$H$65:$H$86,BI116))</f>
        <v/>
      </c>
      <c r="BJ154" s="548" t="str">
        <f>IF(BJ116="","",SUMIFS('Detailed Feasibility'!$N$65:$N$86,$C$65:$C$86,'Detailed Feasibility'!$B$154,'Detailed Feasibility'!$F$65:$F$86,'Detailed Feasibility'!BJ116)+SUMIFS($O$65:$O$86,$C$65:$C$86,$B$154,$G$65:$G$86,BJ116)+SUMIFS($P$65:$P$86,$C$65:$C$86,$B$154,$H$65:$H$86,BJ116))</f>
        <v/>
      </c>
      <c r="BK154" s="548" t="str">
        <f>IF(BK116="","",SUMIFS('Detailed Feasibility'!$N$65:$N$86,$C$65:$C$86,'Detailed Feasibility'!$B$154,'Detailed Feasibility'!$F$65:$F$86,'Detailed Feasibility'!BK116)+SUMIFS($O$65:$O$86,$C$65:$C$86,$B$154,$G$65:$G$86,BK116)+SUMIFS($P$65:$P$86,$C$65:$C$86,$B$154,$H$65:$H$86,BK116))</f>
        <v/>
      </c>
      <c r="BL154" s="548" t="str">
        <f>IF(BL116="","",SUMIFS('Detailed Feasibility'!$N$65:$N$86,$C$65:$C$86,'Detailed Feasibility'!$B$154,'Detailed Feasibility'!$F$65:$F$86,'Detailed Feasibility'!BL116)+SUMIFS($O$65:$O$86,$C$65:$C$86,$B$154,$G$65:$G$86,BL116)+SUMIFS($P$65:$P$86,$C$65:$C$86,$B$154,$H$65:$H$86,BL116))</f>
        <v/>
      </c>
      <c r="BM154" s="56" t="str">
        <f>IF(BM116="","",SUMIFS('Detailed Feasibility'!$N$65:$N$86,$C$65:$C$86,'Detailed Feasibility'!$B$154,'Detailed Feasibility'!$F$65:$F$86,'Detailed Feasibility'!BM116)+SUMIFS($O$65:$O$86,$C$65:$C$86,$B$154,$G$65:$G$86,BM116)+SUMIFS($P$65:$P$86,$C$65:$C$86,$B$154,$H$65:$H$86,BM116))</f>
        <v/>
      </c>
    </row>
    <row r="155" spans="2:65" s="1" customFormat="1" x14ac:dyDescent="0.25">
      <c r="B155" s="547" t="str">
        <f t="shared" si="29"/>
        <v>4 Bed</v>
      </c>
      <c r="C155" s="187"/>
      <c r="D155" s="20">
        <f>'Detailed Feasibility Inputs'!$F$56</f>
        <v>2160000</v>
      </c>
      <c r="E155" s="187">
        <f t="shared" si="30"/>
        <v>1</v>
      </c>
      <c r="F155" s="548">
        <f>SUMIFS('Detailed Feasibility'!$N$65:$N$86,$C$65:$C$86,'Detailed Feasibility'!$B$155,'Detailed Feasibility'!$F$65:$F$86,'Detailed Feasibility'!F116)+SUMIFS($O$65:$O$86,$C$65:$C$86,$B$155,$G$65:$G$86,F116)+SUMIFS($P$65:$P$86,$C$65:$C$86,$B$155,$H$65:$H$86,F116)</f>
        <v>0</v>
      </c>
      <c r="G155" s="548">
        <f>IF(G116="","",SUMIFS('Detailed Feasibility'!$N$65:$N$86,$C$65:$C$86,'Detailed Feasibility'!$B$155,'Detailed Feasibility'!$F$65:$F$86,'Detailed Feasibility'!G116)+SUMIFS($O$65:$O$86,$C$65:$C$86,$B$155,$G$65:$G$86,G116)+SUMIFS($P$65:$P$86,$C$65:$C$86,$B$155,$H$65:$H$86,G116))</f>
        <v>0</v>
      </c>
      <c r="H155" s="548">
        <f>IF(H116="","",SUMIFS('Detailed Feasibility'!$N$65:$N$86,$C$65:$C$86,'Detailed Feasibility'!$B$155,'Detailed Feasibility'!$F$65:$F$86,'Detailed Feasibility'!H116)+SUMIFS($O$65:$O$86,$C$65:$C$86,$B$155,$G$65:$G$86,H116)+SUMIFS($P$65:$P$86,$C$65:$C$86,$B$155,$H$65:$H$86,H116))</f>
        <v>0</v>
      </c>
      <c r="I155" s="548">
        <f>IF(I116="","",SUMIFS('Detailed Feasibility'!$N$65:$N$86,$C$65:$C$86,'Detailed Feasibility'!$B$155,'Detailed Feasibility'!$F$65:$F$86,'Detailed Feasibility'!I116)+SUMIFS($O$65:$O$86,$C$65:$C$86,$B$155,$G$65:$G$86,I116)+SUMIFS($P$65:$P$86,$C$65:$C$86,$B$155,$H$65:$H$86,I116))</f>
        <v>0</v>
      </c>
      <c r="J155" s="548">
        <f>IF(J116="","",SUMIFS('Detailed Feasibility'!$N$65:$N$86,$C$65:$C$86,'Detailed Feasibility'!$B$155,'Detailed Feasibility'!$F$65:$F$86,'Detailed Feasibility'!J116)+SUMIFS($O$65:$O$86,$C$65:$C$86,$B$155,$G$65:$G$86,J116)+SUMIFS($P$65:$P$86,$C$65:$C$86,$B$155,$H$65:$H$86,J116))</f>
        <v>0</v>
      </c>
      <c r="K155" s="548">
        <f>IF(K116="","",SUMIFS('Detailed Feasibility'!$N$65:$N$86,$C$65:$C$86,'Detailed Feasibility'!$B$155,'Detailed Feasibility'!$F$65:$F$86,'Detailed Feasibility'!K116)+SUMIFS($O$65:$O$86,$C$65:$C$86,$B$155,$G$65:$G$86,K116)+SUMIFS($P$65:$P$86,$C$65:$C$86,$B$155,$H$65:$H$86,K116))</f>
        <v>0</v>
      </c>
      <c r="L155" s="548">
        <f>IF(L116="","",SUMIFS('Detailed Feasibility'!$N$65:$N$86,$C$65:$C$86,'Detailed Feasibility'!$B$155,'Detailed Feasibility'!$F$65:$F$86,'Detailed Feasibility'!L116)+SUMIFS($O$65:$O$86,$C$65:$C$86,$B$155,$G$65:$G$86,L116)+SUMIFS($P$65:$P$86,$C$65:$C$86,$B$155,$H$65:$H$86,L116))</f>
        <v>0</v>
      </c>
      <c r="M155" s="548">
        <f>IF(M116="","",SUMIFS('Detailed Feasibility'!$N$65:$N$86,$C$65:$C$86,'Detailed Feasibility'!$B$155,'Detailed Feasibility'!$F$65:$F$86,'Detailed Feasibility'!M116)+SUMIFS($O$65:$O$86,$C$65:$C$86,$B$155,$G$65:$G$86,M116)+SUMIFS($P$65:$P$86,$C$65:$C$86,$B$155,$H$65:$H$86,M116))</f>
        <v>0</v>
      </c>
      <c r="N155" s="548">
        <f>IF(N116="","",SUMIFS('Detailed Feasibility'!$N$65:$N$86,$C$65:$C$86,'Detailed Feasibility'!$B$155,'Detailed Feasibility'!$F$65:$F$86,'Detailed Feasibility'!N116)+SUMIFS($O$65:$O$86,$C$65:$C$86,$B$155,$G$65:$G$86,N116)+SUMIFS($P$65:$P$86,$C$65:$C$86,$B$155,$H$65:$H$86,N116))</f>
        <v>0</v>
      </c>
      <c r="O155" s="548">
        <f>IF(O116="","",SUMIFS('Detailed Feasibility'!$N$65:$N$86,$C$65:$C$86,'Detailed Feasibility'!$B$155,'Detailed Feasibility'!$F$65:$F$86,'Detailed Feasibility'!O116)+SUMIFS($O$65:$O$86,$C$65:$C$86,$B$155,$G$65:$G$86,O116)+SUMIFS($P$65:$P$86,$C$65:$C$86,$B$155,$H$65:$H$86,O116))</f>
        <v>0</v>
      </c>
      <c r="P155" s="548">
        <f>IF(P116="","",SUMIFS('Detailed Feasibility'!$N$65:$N$86,$C$65:$C$86,'Detailed Feasibility'!$B$155,'Detailed Feasibility'!$F$65:$F$86,'Detailed Feasibility'!P116)+SUMIFS($O$65:$O$86,$C$65:$C$86,$B$155,$G$65:$G$86,P116)+SUMIFS($P$65:$P$86,$C$65:$C$86,$B$155,$H$65:$H$86,P116))</f>
        <v>0</v>
      </c>
      <c r="Q155" s="548">
        <f>IF(Q116="","",SUMIFS('Detailed Feasibility'!$N$65:$N$86,$C$65:$C$86,'Detailed Feasibility'!$B$155,'Detailed Feasibility'!$F$65:$F$86,'Detailed Feasibility'!Q116)+SUMIFS($O$65:$O$86,$C$65:$C$86,$B$155,$G$65:$G$86,Q116)+SUMIFS($P$65:$P$86,$C$65:$C$86,$B$155,$H$65:$H$86,Q116))</f>
        <v>0</v>
      </c>
      <c r="R155" s="548">
        <f>IF(R116="","",SUMIFS('Detailed Feasibility'!$N$65:$N$86,$C$65:$C$86,'Detailed Feasibility'!$B$155,'Detailed Feasibility'!$F$65:$F$86,'Detailed Feasibility'!R116)+SUMIFS($O$65:$O$86,$C$65:$C$86,$B$155,$G$65:$G$86,R116)+SUMIFS($P$65:$P$86,$C$65:$C$86,$B$155,$H$65:$H$86,R116))</f>
        <v>0</v>
      </c>
      <c r="S155" s="548">
        <f>IF(S116="","",SUMIFS('Detailed Feasibility'!$N$65:$N$86,$C$65:$C$86,'Detailed Feasibility'!$B$155,'Detailed Feasibility'!$F$65:$F$86,'Detailed Feasibility'!S116)+SUMIFS($O$65:$O$86,$C$65:$C$86,$B$155,$G$65:$G$86,S116)+SUMIFS($P$65:$P$86,$C$65:$C$86,$B$155,$H$65:$H$86,S116))</f>
        <v>120000</v>
      </c>
      <c r="T155" s="548">
        <f>IF(T116="","",SUMIFS('Detailed Feasibility'!$N$65:$N$86,$C$65:$C$86,'Detailed Feasibility'!$B$155,'Detailed Feasibility'!$F$65:$F$86,'Detailed Feasibility'!T116)+SUMIFS($O$65:$O$86,$C$65:$C$86,$B$155,$G$65:$G$86,T116)+SUMIFS($P$65:$P$86,$C$65:$C$86,$B$155,$H$65:$H$86,T116))</f>
        <v>0</v>
      </c>
      <c r="U155" s="548">
        <f>IF(U116="","",SUMIFS('Detailed Feasibility'!$N$65:$N$86,$C$65:$C$86,'Detailed Feasibility'!$B$155,'Detailed Feasibility'!$F$65:$F$86,'Detailed Feasibility'!U116)+SUMIFS($O$65:$O$86,$C$65:$C$86,$B$155,$G$65:$G$86,U116)+SUMIFS($P$65:$P$86,$C$65:$C$86,$B$155,$H$65:$H$86,U116))</f>
        <v>0</v>
      </c>
      <c r="V155" s="548">
        <f>IF(V116="","",SUMIFS('Detailed Feasibility'!$N$65:$N$86,$C$65:$C$86,'Detailed Feasibility'!$B$155,'Detailed Feasibility'!$F$65:$F$86,'Detailed Feasibility'!V116)+SUMIFS($O$65:$O$86,$C$65:$C$86,$B$155,$G$65:$G$86,V116)+SUMIFS($P$65:$P$86,$C$65:$C$86,$B$155,$H$65:$H$86,V116))</f>
        <v>120000</v>
      </c>
      <c r="W155" s="548">
        <f>IF(W116="","",SUMIFS('Detailed Feasibility'!$N$65:$N$86,$C$65:$C$86,'Detailed Feasibility'!$B$155,'Detailed Feasibility'!$F$65:$F$86,'Detailed Feasibility'!W116)+SUMIFS($O$65:$O$86,$C$65:$C$86,$B$155,$G$65:$G$86,W116)+SUMIFS($P$65:$P$86,$C$65:$C$86,$B$155,$H$65:$H$86,W116))</f>
        <v>120000</v>
      </c>
      <c r="X155" s="548">
        <f>IF(X116="","",SUMIFS('Detailed Feasibility'!$N$65:$N$86,$C$65:$C$86,'Detailed Feasibility'!$B$155,'Detailed Feasibility'!$F$65:$F$86,'Detailed Feasibility'!X116)+SUMIFS($O$65:$O$86,$C$65:$C$86,$B$155,$G$65:$G$86,X116)+SUMIFS($P$65:$P$86,$C$65:$C$86,$B$155,$H$65:$H$86,X116))</f>
        <v>0</v>
      </c>
      <c r="Y155" s="548">
        <f>IF(Y116="","",SUMIFS('Detailed Feasibility'!$N$65:$N$86,$C$65:$C$86,'Detailed Feasibility'!$B$155,'Detailed Feasibility'!$F$65:$F$86,'Detailed Feasibility'!Y116)+SUMIFS($O$65:$O$86,$C$65:$C$86,$B$155,$G$65:$G$86,Y116)+SUMIFS($P$65:$P$86,$C$65:$C$86,$B$155,$H$65:$H$86,Y116))</f>
        <v>0</v>
      </c>
      <c r="Z155" s="548">
        <f>IF(Z116="","",SUMIFS('Detailed Feasibility'!$N$65:$N$86,$C$65:$C$86,'Detailed Feasibility'!$B$155,'Detailed Feasibility'!$F$65:$F$86,'Detailed Feasibility'!Z116)+SUMIFS($O$65:$O$86,$C$65:$C$86,$B$155,$G$65:$G$86,Z116)+SUMIFS($P$65:$P$86,$C$65:$C$86,$B$155,$H$65:$H$86,Z116))</f>
        <v>0</v>
      </c>
      <c r="AA155" s="548">
        <f>IF(AA116="","",SUMIFS('Detailed Feasibility'!$N$65:$N$86,$C$65:$C$86,'Detailed Feasibility'!$B$155,'Detailed Feasibility'!$F$65:$F$86,'Detailed Feasibility'!AA116)+SUMIFS($O$65:$O$86,$C$65:$C$86,$B$155,$G$65:$G$86,AA116)+SUMIFS($P$65:$P$86,$C$65:$C$86,$B$155,$H$65:$H$86,AA116))</f>
        <v>0</v>
      </c>
      <c r="AB155" s="548">
        <f>IF(AB116="","",SUMIFS('Detailed Feasibility'!$N$65:$N$86,$C$65:$C$86,'Detailed Feasibility'!$B$155,'Detailed Feasibility'!$F$65:$F$86,'Detailed Feasibility'!AB116)+SUMIFS($O$65:$O$86,$C$65:$C$86,$B$155,$G$65:$G$86,AB116)+SUMIFS($P$65:$P$86,$C$65:$C$86,$B$155,$H$65:$H$86,AB116))</f>
        <v>0</v>
      </c>
      <c r="AC155" s="548">
        <f>IF(AC116="","",SUMIFS('Detailed Feasibility'!$N$65:$N$86,$C$65:$C$86,'Detailed Feasibility'!$B$155,'Detailed Feasibility'!$F$65:$F$86,'Detailed Feasibility'!AC116)+SUMIFS($O$65:$O$86,$C$65:$C$86,$B$155,$G$65:$G$86,AC116)+SUMIFS($P$65:$P$86,$C$65:$C$86,$B$155,$H$65:$H$86,AC116))</f>
        <v>600000</v>
      </c>
      <c r="AD155" s="548">
        <f>IF(AD116="","",SUMIFS('Detailed Feasibility'!$N$65:$N$86,$C$65:$C$86,'Detailed Feasibility'!$B$155,'Detailed Feasibility'!$F$65:$F$86,'Detailed Feasibility'!AD116)+SUMIFS($O$65:$O$86,$C$65:$C$86,$B$155,$G$65:$G$86,AD116)+SUMIFS($P$65:$P$86,$C$65:$C$86,$B$155,$H$65:$H$86,AD116))</f>
        <v>0</v>
      </c>
      <c r="AE155" s="548">
        <f>IF(AE116="","",SUMIFS('Detailed Feasibility'!$N$65:$N$86,$C$65:$C$86,'Detailed Feasibility'!$B$155,'Detailed Feasibility'!$F$65:$F$86,'Detailed Feasibility'!AE116)+SUMIFS($O$65:$O$86,$C$65:$C$86,$B$155,$G$65:$G$86,AE116)+SUMIFS($P$65:$P$86,$C$65:$C$86,$B$155,$H$65:$H$86,AE116))</f>
        <v>0</v>
      </c>
      <c r="AF155" s="548">
        <f>IF(AF116="","",SUMIFS('Detailed Feasibility'!$N$65:$N$86,$C$65:$C$86,'Detailed Feasibility'!$B$155,'Detailed Feasibility'!$F$65:$F$86,'Detailed Feasibility'!AF116)+SUMIFS($O$65:$O$86,$C$65:$C$86,$B$155,$G$65:$G$86,AF116)+SUMIFS($P$65:$P$86,$C$65:$C$86,$B$155,$H$65:$H$86,AF116))</f>
        <v>600000</v>
      </c>
      <c r="AG155" s="548">
        <f>IF(AG116="","",SUMIFS('Detailed Feasibility'!$N$65:$N$86,$C$65:$C$86,'Detailed Feasibility'!$B$155,'Detailed Feasibility'!$F$65:$F$86,'Detailed Feasibility'!AG116)+SUMIFS($O$65:$O$86,$C$65:$C$86,$B$155,$G$65:$G$86,AG116)+SUMIFS($P$65:$P$86,$C$65:$C$86,$B$155,$H$65:$H$86,AG116))</f>
        <v>600000</v>
      </c>
      <c r="AH155" s="548">
        <f>IF(AH116="","",SUMIFS('Detailed Feasibility'!$N$65:$N$86,$C$65:$C$86,'Detailed Feasibility'!$B$155,'Detailed Feasibility'!$F$65:$F$86,'Detailed Feasibility'!AH116)+SUMIFS($O$65:$O$86,$C$65:$C$86,$B$155,$G$65:$G$86,AH116)+SUMIFS($P$65:$P$86,$C$65:$C$86,$B$155,$H$65:$H$86,AH116))</f>
        <v>0</v>
      </c>
      <c r="AI155" s="548">
        <f>IF(AI116="","",SUMIFS('Detailed Feasibility'!$N$65:$N$86,$C$65:$C$86,'Detailed Feasibility'!$B$155,'Detailed Feasibility'!$F$65:$F$86,'Detailed Feasibility'!AI116)+SUMIFS($O$65:$O$86,$C$65:$C$86,$B$155,$G$65:$G$86,AI116)+SUMIFS($P$65:$P$86,$C$65:$C$86,$B$155,$H$65:$H$86,AI116))</f>
        <v>0</v>
      </c>
      <c r="AJ155" s="548">
        <f>IF(AJ116="","",SUMIFS('Detailed Feasibility'!$N$65:$N$86,$C$65:$C$86,'Detailed Feasibility'!$B$155,'Detailed Feasibility'!$F$65:$F$86,'Detailed Feasibility'!AJ116)+SUMIFS($O$65:$O$86,$C$65:$C$86,$B$155,$G$65:$G$86,AJ116)+SUMIFS($P$65:$P$86,$C$65:$C$86,$B$155,$H$65:$H$86,AJ116))</f>
        <v>0</v>
      </c>
      <c r="AK155" s="548">
        <f>IF(AK116="","",SUMIFS('Detailed Feasibility'!$N$65:$N$86,$C$65:$C$86,'Detailed Feasibility'!$B$155,'Detailed Feasibility'!$F$65:$F$86,'Detailed Feasibility'!AK116)+SUMIFS($O$65:$O$86,$C$65:$C$86,$B$155,$G$65:$G$86,AK116)+SUMIFS($P$65:$P$86,$C$65:$C$86,$B$155,$H$65:$H$86,AK116))</f>
        <v>0</v>
      </c>
      <c r="AL155" s="548">
        <f>IF(AL116="","",SUMIFS('Detailed Feasibility'!$N$65:$N$86,$C$65:$C$86,'Detailed Feasibility'!$B$155,'Detailed Feasibility'!$F$65:$F$86,'Detailed Feasibility'!AL116)+SUMIFS($O$65:$O$86,$C$65:$C$86,$B$155,$G$65:$G$86,AL116)+SUMIFS($P$65:$P$86,$C$65:$C$86,$B$155,$H$65:$H$86,AL116))</f>
        <v>0</v>
      </c>
      <c r="AM155" s="548">
        <f>IF(AM116="","",SUMIFS('Detailed Feasibility'!$N$65:$N$86,$C$65:$C$86,'Detailed Feasibility'!$B$155,'Detailed Feasibility'!$F$65:$F$86,'Detailed Feasibility'!AM116)+SUMIFS($O$65:$O$86,$C$65:$C$86,$B$155,$G$65:$G$86,AM116)+SUMIFS($P$65:$P$86,$C$65:$C$86,$B$155,$H$65:$H$86,AM116))</f>
        <v>0</v>
      </c>
      <c r="AN155" s="548">
        <f>IF(AN116="","",SUMIFS('Detailed Feasibility'!$N$65:$N$86,$C$65:$C$86,'Detailed Feasibility'!$B$155,'Detailed Feasibility'!$F$65:$F$86,'Detailed Feasibility'!AN116)+SUMIFS($O$65:$O$86,$C$65:$C$86,$B$155,$G$65:$G$86,AN116)+SUMIFS($P$65:$P$86,$C$65:$C$86,$B$155,$H$65:$H$86,AN116))</f>
        <v>0</v>
      </c>
      <c r="AO155" s="548">
        <f>IF(AO116="","",SUMIFS('Detailed Feasibility'!$N$65:$N$86,$C$65:$C$86,'Detailed Feasibility'!$B$155,'Detailed Feasibility'!$F$65:$F$86,'Detailed Feasibility'!AO116)+SUMIFS($O$65:$O$86,$C$65:$C$86,$B$155,$G$65:$G$86,AO116)+SUMIFS($P$65:$P$86,$C$65:$C$86,$B$155,$H$65:$H$86,AO116))</f>
        <v>0</v>
      </c>
      <c r="AP155" s="548">
        <f>IF(AP116="","",SUMIFS('Detailed Feasibility'!$N$65:$N$86,$C$65:$C$86,'Detailed Feasibility'!$B$155,'Detailed Feasibility'!$F$65:$F$86,'Detailed Feasibility'!AP116)+SUMIFS($O$65:$O$86,$C$65:$C$86,$B$155,$G$65:$G$86,AP116)+SUMIFS($P$65:$P$86,$C$65:$C$86,$B$155,$H$65:$H$86,AP116))</f>
        <v>0</v>
      </c>
      <c r="AQ155" s="548" t="str">
        <f>IF(AQ116="","",SUMIFS('Detailed Feasibility'!$N$65:$N$86,$C$65:$C$86,'Detailed Feasibility'!$B$155,'Detailed Feasibility'!$F$65:$F$86,'Detailed Feasibility'!AQ116)+SUMIFS($O$65:$O$86,$C$65:$C$86,$B$155,$G$65:$G$86,AQ116)+SUMIFS($P$65:$P$86,$C$65:$C$86,$B$155,$H$65:$H$86,AQ116))</f>
        <v/>
      </c>
      <c r="AR155" s="548" t="str">
        <f>IF(AR116="","",SUMIFS('Detailed Feasibility'!$N$65:$N$86,$C$65:$C$86,'Detailed Feasibility'!$B$155,'Detailed Feasibility'!$F$65:$F$86,'Detailed Feasibility'!AR116)+SUMIFS($O$65:$O$86,$C$65:$C$86,$B$155,$G$65:$G$86,AR116)+SUMIFS($P$65:$P$86,$C$65:$C$86,$B$155,$H$65:$H$86,AR116))</f>
        <v/>
      </c>
      <c r="AS155" s="548" t="str">
        <f>IF(AS116="","",SUMIFS('Detailed Feasibility'!$N$65:$N$86,$C$65:$C$86,'Detailed Feasibility'!$B$155,'Detailed Feasibility'!$F$65:$F$86,'Detailed Feasibility'!AS116)+SUMIFS($O$65:$O$86,$C$65:$C$86,$B$155,$G$65:$G$86,AS116)+SUMIFS($P$65:$P$86,$C$65:$C$86,$B$155,$H$65:$H$86,AS116))</f>
        <v/>
      </c>
      <c r="AT155" s="548" t="str">
        <f>IF(AT116="","",SUMIFS('Detailed Feasibility'!$N$65:$N$86,$C$65:$C$86,'Detailed Feasibility'!$B$155,'Detailed Feasibility'!$F$65:$F$86,'Detailed Feasibility'!AT116)+SUMIFS($O$65:$O$86,$C$65:$C$86,$B$155,$G$65:$G$86,AT116)+SUMIFS($P$65:$P$86,$C$65:$C$86,$B$155,$H$65:$H$86,AT116))</f>
        <v/>
      </c>
      <c r="AU155" s="548" t="str">
        <f>IF(AU116="","",SUMIFS('Detailed Feasibility'!$N$65:$N$86,$C$65:$C$86,'Detailed Feasibility'!$B$155,'Detailed Feasibility'!$F$65:$F$86,'Detailed Feasibility'!AU116)+SUMIFS($O$65:$O$86,$C$65:$C$86,$B$155,$G$65:$G$86,AU116)+SUMIFS($P$65:$P$86,$C$65:$C$86,$B$155,$H$65:$H$86,AU116))</f>
        <v/>
      </c>
      <c r="AV155" s="548" t="str">
        <f>IF(AV116="","",SUMIFS('Detailed Feasibility'!$N$65:$N$86,$C$65:$C$86,'Detailed Feasibility'!$B$155,'Detailed Feasibility'!$F$65:$F$86,'Detailed Feasibility'!AV116)+SUMIFS($O$65:$O$86,$C$65:$C$86,$B$155,$G$65:$G$86,AV116)+SUMIFS($P$65:$P$86,$C$65:$C$86,$B$155,$H$65:$H$86,AV116))</f>
        <v/>
      </c>
      <c r="AW155" s="548" t="str">
        <f>IF(AW116="","",SUMIFS('Detailed Feasibility'!$N$65:$N$86,$C$65:$C$86,'Detailed Feasibility'!$B$155,'Detailed Feasibility'!$F$65:$F$86,'Detailed Feasibility'!AW116)+SUMIFS($O$65:$O$86,$C$65:$C$86,$B$155,$G$65:$G$86,AW116)+SUMIFS($P$65:$P$86,$C$65:$C$86,$B$155,$H$65:$H$86,AW116))</f>
        <v/>
      </c>
      <c r="AX155" s="548" t="str">
        <f>IF(AX116="","",SUMIFS('Detailed Feasibility'!$N$65:$N$86,$C$65:$C$86,'Detailed Feasibility'!$B$155,'Detailed Feasibility'!$F$65:$F$86,'Detailed Feasibility'!AX116)+SUMIFS($O$65:$O$86,$C$65:$C$86,$B$155,$G$65:$G$86,AX116)+SUMIFS($P$65:$P$86,$C$65:$C$86,$B$155,$H$65:$H$86,AX116))</f>
        <v/>
      </c>
      <c r="AY155" s="548" t="str">
        <f>IF(AY116="","",SUMIFS('Detailed Feasibility'!$N$65:$N$86,$C$65:$C$86,'Detailed Feasibility'!$B$155,'Detailed Feasibility'!$F$65:$F$86,'Detailed Feasibility'!AY116)+SUMIFS($O$65:$O$86,$C$65:$C$86,$B$155,$G$65:$G$86,AY116)+SUMIFS($P$65:$P$86,$C$65:$C$86,$B$155,$H$65:$H$86,AY116))</f>
        <v/>
      </c>
      <c r="AZ155" s="548" t="str">
        <f>IF(AZ116="","",SUMIFS('Detailed Feasibility'!$N$65:$N$86,$C$65:$C$86,'Detailed Feasibility'!$B$155,'Detailed Feasibility'!$F$65:$F$86,'Detailed Feasibility'!AZ116)+SUMIFS($O$65:$O$86,$C$65:$C$86,$B$155,$G$65:$G$86,AZ116)+SUMIFS($P$65:$P$86,$C$65:$C$86,$B$155,$H$65:$H$86,AZ116))</f>
        <v/>
      </c>
      <c r="BA155" s="548" t="str">
        <f>IF(BA116="","",SUMIFS('Detailed Feasibility'!$N$65:$N$86,$C$65:$C$86,'Detailed Feasibility'!$B$155,'Detailed Feasibility'!$F$65:$F$86,'Detailed Feasibility'!BA116)+SUMIFS($O$65:$O$86,$C$65:$C$86,$B$155,$G$65:$G$86,BA116)+SUMIFS($P$65:$P$86,$C$65:$C$86,$B$155,$H$65:$H$86,BA116))</f>
        <v/>
      </c>
      <c r="BB155" s="548" t="str">
        <f>IF(BB116="","",SUMIFS('Detailed Feasibility'!$N$65:$N$86,$C$65:$C$86,'Detailed Feasibility'!$B$155,'Detailed Feasibility'!$F$65:$F$86,'Detailed Feasibility'!BB116)+SUMIFS($O$65:$O$86,$C$65:$C$86,$B$155,$G$65:$G$86,BB116)+SUMIFS($P$65:$P$86,$C$65:$C$86,$B$155,$H$65:$H$86,BB116))</f>
        <v/>
      </c>
      <c r="BC155" s="548" t="str">
        <f>IF(BC116="","",SUMIFS('Detailed Feasibility'!$N$65:$N$86,$C$65:$C$86,'Detailed Feasibility'!$B$155,'Detailed Feasibility'!$F$65:$F$86,'Detailed Feasibility'!BC116)+SUMIFS($O$65:$O$86,$C$65:$C$86,$B$155,$G$65:$G$86,BC116)+SUMIFS($P$65:$P$86,$C$65:$C$86,$B$155,$H$65:$H$86,BC116))</f>
        <v/>
      </c>
      <c r="BD155" s="548" t="str">
        <f>IF(BD116="","",SUMIFS('Detailed Feasibility'!$N$65:$N$86,$C$65:$C$86,'Detailed Feasibility'!$B$155,'Detailed Feasibility'!$F$65:$F$86,'Detailed Feasibility'!BD116)+SUMIFS($O$65:$O$86,$C$65:$C$86,$B$155,$G$65:$G$86,BD116)+SUMIFS($P$65:$P$86,$C$65:$C$86,$B$155,$H$65:$H$86,BD116))</f>
        <v/>
      </c>
      <c r="BE155" s="548" t="str">
        <f>IF(BE116="","",SUMIFS('Detailed Feasibility'!$N$65:$N$86,$C$65:$C$86,'Detailed Feasibility'!$B$155,'Detailed Feasibility'!$F$65:$F$86,'Detailed Feasibility'!BE116)+SUMIFS($O$65:$O$86,$C$65:$C$86,$B$155,$G$65:$G$86,BE116)+SUMIFS($P$65:$P$86,$C$65:$C$86,$B$155,$H$65:$H$86,BE116))</f>
        <v/>
      </c>
      <c r="BF155" s="548" t="str">
        <f>IF(BF116="","",SUMIFS('Detailed Feasibility'!$N$65:$N$86,$C$65:$C$86,'Detailed Feasibility'!$B$155,'Detailed Feasibility'!$F$65:$F$86,'Detailed Feasibility'!BF116)+SUMIFS($O$65:$O$86,$C$65:$C$86,$B$155,$G$65:$G$86,BF116)+SUMIFS($P$65:$P$86,$C$65:$C$86,$B$155,$H$65:$H$86,BF116))</f>
        <v/>
      </c>
      <c r="BG155" s="548" t="str">
        <f>IF(BG116="","",SUMIFS('Detailed Feasibility'!$N$65:$N$86,$C$65:$C$86,'Detailed Feasibility'!$B$155,'Detailed Feasibility'!$F$65:$F$86,'Detailed Feasibility'!BG116)+SUMIFS($O$65:$O$86,$C$65:$C$86,$B$155,$G$65:$G$86,BG116)+SUMIFS($P$65:$P$86,$C$65:$C$86,$B$155,$H$65:$H$86,BG116))</f>
        <v/>
      </c>
      <c r="BH155" s="548" t="str">
        <f>IF(BH116="","",SUMIFS('Detailed Feasibility'!$N$65:$N$86,$C$65:$C$86,'Detailed Feasibility'!$B$155,'Detailed Feasibility'!$F$65:$F$86,'Detailed Feasibility'!BH116)+SUMIFS($O$65:$O$86,$C$65:$C$86,$B$155,$G$65:$G$86,BH116)+SUMIFS($P$65:$P$86,$C$65:$C$86,$B$155,$H$65:$H$86,BH116))</f>
        <v/>
      </c>
      <c r="BI155" s="548" t="str">
        <f>IF(BI116="","",SUMIFS('Detailed Feasibility'!$N$65:$N$86,$C$65:$C$86,'Detailed Feasibility'!$B$155,'Detailed Feasibility'!$F$65:$F$86,'Detailed Feasibility'!BI116)+SUMIFS($O$65:$O$86,$C$65:$C$86,$B$155,$G$65:$G$86,BI116)+SUMIFS($P$65:$P$86,$C$65:$C$86,$B$155,$H$65:$H$86,BI116))</f>
        <v/>
      </c>
      <c r="BJ155" s="548" t="str">
        <f>IF(BJ116="","",SUMIFS('Detailed Feasibility'!$N$65:$N$86,$C$65:$C$86,'Detailed Feasibility'!$B$155,'Detailed Feasibility'!$F$65:$F$86,'Detailed Feasibility'!BJ116)+SUMIFS($O$65:$O$86,$C$65:$C$86,$B$155,$G$65:$G$86,BJ116)+SUMIFS($P$65:$P$86,$C$65:$C$86,$B$155,$H$65:$H$86,BJ116))</f>
        <v/>
      </c>
      <c r="BK155" s="548" t="str">
        <f>IF(BK116="","",SUMIFS('Detailed Feasibility'!$N$65:$N$86,$C$65:$C$86,'Detailed Feasibility'!$B$155,'Detailed Feasibility'!$F$65:$F$86,'Detailed Feasibility'!BK116)+SUMIFS($O$65:$O$86,$C$65:$C$86,$B$155,$G$65:$G$86,BK116)+SUMIFS($P$65:$P$86,$C$65:$C$86,$B$155,$H$65:$H$86,BK116))</f>
        <v/>
      </c>
      <c r="BL155" s="548" t="str">
        <f>IF(BL116="","",SUMIFS('Detailed Feasibility'!$N$65:$N$86,$C$65:$C$86,'Detailed Feasibility'!$B$155,'Detailed Feasibility'!$F$65:$F$86,'Detailed Feasibility'!BL116)+SUMIFS($O$65:$O$86,$C$65:$C$86,$B$155,$G$65:$G$86,BL116)+SUMIFS($P$65:$P$86,$C$65:$C$86,$B$155,$H$65:$H$86,BL116))</f>
        <v/>
      </c>
      <c r="BM155" s="56" t="str">
        <f>IF(BM116="","",SUMIFS('Detailed Feasibility'!$N$65:$N$86,$C$65:$C$86,'Detailed Feasibility'!$B$155,'Detailed Feasibility'!$F$65:$F$86,'Detailed Feasibility'!BM116)+SUMIFS($O$65:$O$86,$C$65:$C$86,$B$155,$G$65:$G$86,BM116)+SUMIFS($P$65:$P$86,$C$65:$C$86,$B$155,$H$65:$H$86,BM116))</f>
        <v/>
      </c>
    </row>
    <row r="156" spans="2:65" s="1" customFormat="1" x14ac:dyDescent="0.25">
      <c r="B156" s="547" t="str">
        <f t="shared" si="29"/>
        <v>5 Bed</v>
      </c>
      <c r="C156" s="187"/>
      <c r="D156" s="20">
        <f>'Detailed Feasibility Inputs'!$F$57</f>
        <v>0</v>
      </c>
      <c r="E156" s="187">
        <f t="shared" si="30"/>
        <v>1</v>
      </c>
      <c r="F156" s="548">
        <f>SUMIFS('Detailed Feasibility'!$N$65:$N$86,$C$65:$C$86,'Detailed Feasibility'!$B$156,'Detailed Feasibility'!$F$65:$F$86,'Detailed Feasibility'!F116)+SUMIFS($O$65:$O$86,$C$65:$C$86,$B$156,$G$65:$G$86,F116)+SUMIFS($P$65:$P$86,$C$65:$C$86,$B$156,$H$65:$H$86,F116)</f>
        <v>0</v>
      </c>
      <c r="G156" s="548">
        <f>IF(G116="","",SUMIFS('Detailed Feasibility'!$N$65:$N$86,$C$65:$C$86,'Detailed Feasibility'!$B$156,'Detailed Feasibility'!$F$65:$F$86,'Detailed Feasibility'!G116)+SUMIFS($O$65:$O$86,$C$65:$C$86,$B$156,$G$65:$G$86,G116)+SUMIFS($P$65:$P$86,$C$65:$C$86,$B$156,$H$65:$H$86,G116))</f>
        <v>0</v>
      </c>
      <c r="H156" s="548">
        <f>IF(H116="","",SUMIFS('Detailed Feasibility'!$N$65:$N$86,$C$65:$C$86,'Detailed Feasibility'!$B$156,'Detailed Feasibility'!$F$65:$F$86,'Detailed Feasibility'!H116)+SUMIFS($O$65:$O$86,$C$65:$C$86,$B$156,$G$65:$G$86,H116)+SUMIFS($P$65:$P$86,$C$65:$C$86,$B$156,$H$65:$H$86,H116))</f>
        <v>0</v>
      </c>
      <c r="I156" s="548">
        <f>IF(I116="","",SUMIFS('Detailed Feasibility'!$N$65:$N$86,$C$65:$C$86,'Detailed Feasibility'!$B$156,'Detailed Feasibility'!$F$65:$F$86,'Detailed Feasibility'!I116)+SUMIFS($O$65:$O$86,$C$65:$C$86,$B$156,$G$65:$G$86,I116)+SUMIFS($P$65:$P$86,$C$65:$C$86,$B$156,$H$65:$H$86,I116))</f>
        <v>0</v>
      </c>
      <c r="J156" s="548">
        <f>IF(J116="","",SUMIFS('Detailed Feasibility'!$N$65:$N$86,$C$65:$C$86,'Detailed Feasibility'!$B$156,'Detailed Feasibility'!$F$65:$F$86,'Detailed Feasibility'!J116)+SUMIFS($O$65:$O$86,$C$65:$C$86,$B$156,$G$65:$G$86,J116)+SUMIFS($P$65:$P$86,$C$65:$C$86,$B$156,$H$65:$H$86,J116))</f>
        <v>0</v>
      </c>
      <c r="K156" s="548">
        <f>IF(K116="","",SUMIFS('Detailed Feasibility'!$N$65:$N$86,$C$65:$C$86,'Detailed Feasibility'!$B$156,'Detailed Feasibility'!$F$65:$F$86,'Detailed Feasibility'!K116)+SUMIFS($O$65:$O$86,$C$65:$C$86,$B$156,$G$65:$G$86,K116)+SUMIFS($P$65:$P$86,$C$65:$C$86,$B$156,$H$65:$H$86,K116))</f>
        <v>0</v>
      </c>
      <c r="L156" s="548">
        <f>IF(L116="","",SUMIFS('Detailed Feasibility'!$N$65:$N$86,$C$65:$C$86,'Detailed Feasibility'!$B$156,'Detailed Feasibility'!$F$65:$F$86,'Detailed Feasibility'!L116)+SUMIFS($O$65:$O$86,$C$65:$C$86,$B$156,$G$65:$G$86,L116)+SUMIFS($P$65:$P$86,$C$65:$C$86,$B$156,$H$65:$H$86,L116))</f>
        <v>0</v>
      </c>
      <c r="M156" s="548">
        <f>IF(M116="","",SUMIFS('Detailed Feasibility'!$N$65:$N$86,$C$65:$C$86,'Detailed Feasibility'!$B$156,'Detailed Feasibility'!$F$65:$F$86,'Detailed Feasibility'!M116)+SUMIFS($O$65:$O$86,$C$65:$C$86,$B$156,$G$65:$G$86,M116)+SUMIFS($P$65:$P$86,$C$65:$C$86,$B$156,$H$65:$H$86,M116))</f>
        <v>0</v>
      </c>
      <c r="N156" s="548">
        <f>IF(N116="","",SUMIFS('Detailed Feasibility'!$N$65:$N$86,$C$65:$C$86,'Detailed Feasibility'!$B$156,'Detailed Feasibility'!$F$65:$F$86,'Detailed Feasibility'!N116)+SUMIFS($O$65:$O$86,$C$65:$C$86,$B$156,$G$65:$G$86,N116)+SUMIFS($P$65:$P$86,$C$65:$C$86,$B$156,$H$65:$H$86,N116))</f>
        <v>0</v>
      </c>
      <c r="O156" s="548">
        <f>IF(O116="","",SUMIFS('Detailed Feasibility'!$N$65:$N$86,$C$65:$C$86,'Detailed Feasibility'!$B$156,'Detailed Feasibility'!$F$65:$F$86,'Detailed Feasibility'!O116)+SUMIFS($O$65:$O$86,$C$65:$C$86,$B$156,$G$65:$G$86,O116)+SUMIFS($P$65:$P$86,$C$65:$C$86,$B$156,$H$65:$H$86,O116))</f>
        <v>0</v>
      </c>
      <c r="P156" s="548">
        <f>IF(P116="","",SUMIFS('Detailed Feasibility'!$N$65:$N$86,$C$65:$C$86,'Detailed Feasibility'!$B$156,'Detailed Feasibility'!$F$65:$F$86,'Detailed Feasibility'!P116)+SUMIFS($O$65:$O$86,$C$65:$C$86,$B$156,$G$65:$G$86,P116)+SUMIFS($P$65:$P$86,$C$65:$C$86,$B$156,$H$65:$H$86,P116))</f>
        <v>0</v>
      </c>
      <c r="Q156" s="548">
        <f>IF(Q116="","",SUMIFS('Detailed Feasibility'!$N$65:$N$86,$C$65:$C$86,'Detailed Feasibility'!$B$156,'Detailed Feasibility'!$F$65:$F$86,'Detailed Feasibility'!Q116)+SUMIFS($O$65:$O$86,$C$65:$C$86,$B$156,$G$65:$G$86,Q116)+SUMIFS($P$65:$P$86,$C$65:$C$86,$B$156,$H$65:$H$86,Q116))</f>
        <v>0</v>
      </c>
      <c r="R156" s="548">
        <f>IF(R116="","",SUMIFS('Detailed Feasibility'!$N$65:$N$86,$C$65:$C$86,'Detailed Feasibility'!$B$156,'Detailed Feasibility'!$F$65:$F$86,'Detailed Feasibility'!R116)+SUMIFS($O$65:$O$86,$C$65:$C$86,$B$156,$G$65:$G$86,R116)+SUMIFS($P$65:$P$86,$C$65:$C$86,$B$156,$H$65:$H$86,R116))</f>
        <v>0</v>
      </c>
      <c r="S156" s="548">
        <f>IF(S116="","",SUMIFS('Detailed Feasibility'!$N$65:$N$86,$C$65:$C$86,'Detailed Feasibility'!$B$156,'Detailed Feasibility'!$F$65:$F$86,'Detailed Feasibility'!S116)+SUMIFS($O$65:$O$86,$C$65:$C$86,$B$156,$G$65:$G$86,S116)+SUMIFS($P$65:$P$86,$C$65:$C$86,$B$156,$H$65:$H$86,S116))</f>
        <v>0</v>
      </c>
      <c r="T156" s="548">
        <f>IF(T116="","",SUMIFS('Detailed Feasibility'!$N$65:$N$86,$C$65:$C$86,'Detailed Feasibility'!$B$156,'Detailed Feasibility'!$F$65:$F$86,'Detailed Feasibility'!T116)+SUMIFS($O$65:$O$86,$C$65:$C$86,$B$156,$G$65:$G$86,T116)+SUMIFS($P$65:$P$86,$C$65:$C$86,$B$156,$H$65:$H$86,T116))</f>
        <v>0</v>
      </c>
      <c r="U156" s="548">
        <f>IF(U116="","",SUMIFS('Detailed Feasibility'!$N$65:$N$86,$C$65:$C$86,'Detailed Feasibility'!$B$156,'Detailed Feasibility'!$F$65:$F$86,'Detailed Feasibility'!U116)+SUMIFS($O$65:$O$86,$C$65:$C$86,$B$156,$G$65:$G$86,U116)+SUMIFS($P$65:$P$86,$C$65:$C$86,$B$156,$H$65:$H$86,U116))</f>
        <v>0</v>
      </c>
      <c r="V156" s="548">
        <f>IF(V116="","",SUMIFS('Detailed Feasibility'!$N$65:$N$86,$C$65:$C$86,'Detailed Feasibility'!$B$156,'Detailed Feasibility'!$F$65:$F$86,'Detailed Feasibility'!V116)+SUMIFS($O$65:$O$86,$C$65:$C$86,$B$156,$G$65:$G$86,V116)+SUMIFS($P$65:$P$86,$C$65:$C$86,$B$156,$H$65:$H$86,V116))</f>
        <v>0</v>
      </c>
      <c r="W156" s="548">
        <f>IF(W116="","",SUMIFS('Detailed Feasibility'!$N$65:$N$86,$C$65:$C$86,'Detailed Feasibility'!$B$156,'Detailed Feasibility'!$F$65:$F$86,'Detailed Feasibility'!W116)+SUMIFS($O$65:$O$86,$C$65:$C$86,$B$156,$G$65:$G$86,W116)+SUMIFS($P$65:$P$86,$C$65:$C$86,$B$156,$H$65:$H$86,W116))</f>
        <v>0</v>
      </c>
      <c r="X156" s="548">
        <f>IF(X116="","",SUMIFS('Detailed Feasibility'!$N$65:$N$86,$C$65:$C$86,'Detailed Feasibility'!$B$156,'Detailed Feasibility'!$F$65:$F$86,'Detailed Feasibility'!X116)+SUMIFS($O$65:$O$86,$C$65:$C$86,$B$156,$G$65:$G$86,X116)+SUMIFS($P$65:$P$86,$C$65:$C$86,$B$156,$H$65:$H$86,X116))</f>
        <v>0</v>
      </c>
      <c r="Y156" s="548">
        <f>IF(Y116="","",SUMIFS('Detailed Feasibility'!$N$65:$N$86,$C$65:$C$86,'Detailed Feasibility'!$B$156,'Detailed Feasibility'!$F$65:$F$86,'Detailed Feasibility'!Y116)+SUMIFS($O$65:$O$86,$C$65:$C$86,$B$156,$G$65:$G$86,Y116)+SUMIFS($P$65:$P$86,$C$65:$C$86,$B$156,$H$65:$H$86,Y116))</f>
        <v>0</v>
      </c>
      <c r="Z156" s="548">
        <f>IF(Z116="","",SUMIFS('Detailed Feasibility'!$N$65:$N$86,$C$65:$C$86,'Detailed Feasibility'!$B$156,'Detailed Feasibility'!$F$65:$F$86,'Detailed Feasibility'!Z116)+SUMIFS($O$65:$O$86,$C$65:$C$86,$B$156,$G$65:$G$86,Z116)+SUMIFS($P$65:$P$86,$C$65:$C$86,$B$156,$H$65:$H$86,Z116))</f>
        <v>0</v>
      </c>
      <c r="AA156" s="548">
        <f>IF(AA116="","",SUMIFS('Detailed Feasibility'!$N$65:$N$86,$C$65:$C$86,'Detailed Feasibility'!$B$156,'Detailed Feasibility'!$F$65:$F$86,'Detailed Feasibility'!AA116)+SUMIFS($O$65:$O$86,$C$65:$C$86,$B$156,$G$65:$G$86,AA116)+SUMIFS($P$65:$P$86,$C$65:$C$86,$B$156,$H$65:$H$86,AA116))</f>
        <v>0</v>
      </c>
      <c r="AB156" s="548">
        <f>IF(AB116="","",SUMIFS('Detailed Feasibility'!$N$65:$N$86,$C$65:$C$86,'Detailed Feasibility'!$B$156,'Detailed Feasibility'!$F$65:$F$86,'Detailed Feasibility'!AB116)+SUMIFS($O$65:$O$86,$C$65:$C$86,$B$156,$G$65:$G$86,AB116)+SUMIFS($P$65:$P$86,$C$65:$C$86,$B$156,$H$65:$H$86,AB116))</f>
        <v>0</v>
      </c>
      <c r="AC156" s="548">
        <f>IF(AC116="","",SUMIFS('Detailed Feasibility'!$N$65:$N$86,$C$65:$C$86,'Detailed Feasibility'!$B$156,'Detailed Feasibility'!$F$65:$F$86,'Detailed Feasibility'!AC116)+SUMIFS($O$65:$O$86,$C$65:$C$86,$B$156,$G$65:$G$86,AC116)+SUMIFS($P$65:$P$86,$C$65:$C$86,$B$156,$H$65:$H$86,AC116))</f>
        <v>0</v>
      </c>
      <c r="AD156" s="548">
        <f>IF(AD116="","",SUMIFS('Detailed Feasibility'!$N$65:$N$86,$C$65:$C$86,'Detailed Feasibility'!$B$156,'Detailed Feasibility'!$F$65:$F$86,'Detailed Feasibility'!AD116)+SUMIFS($O$65:$O$86,$C$65:$C$86,$B$156,$G$65:$G$86,AD116)+SUMIFS($P$65:$P$86,$C$65:$C$86,$B$156,$H$65:$H$86,AD116))</f>
        <v>0</v>
      </c>
      <c r="AE156" s="548">
        <f>IF(AE116="","",SUMIFS('Detailed Feasibility'!$N$65:$N$86,$C$65:$C$86,'Detailed Feasibility'!$B$156,'Detailed Feasibility'!$F$65:$F$86,'Detailed Feasibility'!AE116)+SUMIFS($O$65:$O$86,$C$65:$C$86,$B$156,$G$65:$G$86,AE116)+SUMIFS($P$65:$P$86,$C$65:$C$86,$B$156,$H$65:$H$86,AE116))</f>
        <v>0</v>
      </c>
      <c r="AF156" s="548">
        <f>IF(AF116="","",SUMIFS('Detailed Feasibility'!$N$65:$N$86,$C$65:$C$86,'Detailed Feasibility'!$B$156,'Detailed Feasibility'!$F$65:$F$86,'Detailed Feasibility'!AF116)+SUMIFS($O$65:$O$86,$C$65:$C$86,$B$156,$G$65:$G$86,AF116)+SUMIFS($P$65:$P$86,$C$65:$C$86,$B$156,$H$65:$H$86,AF116))</f>
        <v>0</v>
      </c>
      <c r="AG156" s="548">
        <f>IF(AG116="","",SUMIFS('Detailed Feasibility'!$N$65:$N$86,$C$65:$C$86,'Detailed Feasibility'!$B$156,'Detailed Feasibility'!$F$65:$F$86,'Detailed Feasibility'!AG116)+SUMIFS($O$65:$O$86,$C$65:$C$86,$B$156,$G$65:$G$86,AG116)+SUMIFS($P$65:$P$86,$C$65:$C$86,$B$156,$H$65:$H$86,AG116))</f>
        <v>0</v>
      </c>
      <c r="AH156" s="548">
        <f>IF(AH116="","",SUMIFS('Detailed Feasibility'!$N$65:$N$86,$C$65:$C$86,'Detailed Feasibility'!$B$156,'Detailed Feasibility'!$F$65:$F$86,'Detailed Feasibility'!AH116)+SUMIFS($O$65:$O$86,$C$65:$C$86,$B$156,$G$65:$G$86,AH116)+SUMIFS($P$65:$P$86,$C$65:$C$86,$B$156,$H$65:$H$86,AH116))</f>
        <v>0</v>
      </c>
      <c r="AI156" s="548">
        <f>IF(AI116="","",SUMIFS('Detailed Feasibility'!$N$65:$N$86,$C$65:$C$86,'Detailed Feasibility'!$B$156,'Detailed Feasibility'!$F$65:$F$86,'Detailed Feasibility'!AI116)+SUMIFS($O$65:$O$86,$C$65:$C$86,$B$156,$G$65:$G$86,AI116)+SUMIFS($P$65:$P$86,$C$65:$C$86,$B$156,$H$65:$H$86,AI116))</f>
        <v>0</v>
      </c>
      <c r="AJ156" s="548">
        <f>IF(AJ116="","",SUMIFS('Detailed Feasibility'!$N$65:$N$86,$C$65:$C$86,'Detailed Feasibility'!$B$156,'Detailed Feasibility'!$F$65:$F$86,'Detailed Feasibility'!AJ116)+SUMIFS($O$65:$O$86,$C$65:$C$86,$B$156,$G$65:$G$86,AJ116)+SUMIFS($P$65:$P$86,$C$65:$C$86,$B$156,$H$65:$H$86,AJ116))</f>
        <v>0</v>
      </c>
      <c r="AK156" s="548">
        <f>IF(AK116="","",SUMIFS('Detailed Feasibility'!$N$65:$N$86,$C$65:$C$86,'Detailed Feasibility'!$B$156,'Detailed Feasibility'!$F$65:$F$86,'Detailed Feasibility'!AK116)+SUMIFS($O$65:$O$86,$C$65:$C$86,$B$156,$G$65:$G$86,AK116)+SUMIFS($P$65:$P$86,$C$65:$C$86,$B$156,$H$65:$H$86,AK116))</f>
        <v>0</v>
      </c>
      <c r="AL156" s="548">
        <f>IF(AL116="","",SUMIFS('Detailed Feasibility'!$N$65:$N$86,$C$65:$C$86,'Detailed Feasibility'!$B$156,'Detailed Feasibility'!$F$65:$F$86,'Detailed Feasibility'!AL116)+SUMIFS($O$65:$O$86,$C$65:$C$86,$B$156,$G$65:$G$86,AL116)+SUMIFS($P$65:$P$86,$C$65:$C$86,$B$156,$H$65:$H$86,AL116))</f>
        <v>0</v>
      </c>
      <c r="AM156" s="548">
        <f>IF(AM116="","",SUMIFS('Detailed Feasibility'!$N$65:$N$86,$C$65:$C$86,'Detailed Feasibility'!$B$156,'Detailed Feasibility'!$F$65:$F$86,'Detailed Feasibility'!AM116)+SUMIFS($O$65:$O$86,$C$65:$C$86,$B$156,$G$65:$G$86,AM116)+SUMIFS($P$65:$P$86,$C$65:$C$86,$B$156,$H$65:$H$86,AM116))</f>
        <v>0</v>
      </c>
      <c r="AN156" s="548">
        <f>IF(AN116="","",SUMIFS('Detailed Feasibility'!$N$65:$N$86,$C$65:$C$86,'Detailed Feasibility'!$B$156,'Detailed Feasibility'!$F$65:$F$86,'Detailed Feasibility'!AN116)+SUMIFS($O$65:$O$86,$C$65:$C$86,$B$156,$G$65:$G$86,AN116)+SUMIFS($P$65:$P$86,$C$65:$C$86,$B$156,$H$65:$H$86,AN116))</f>
        <v>0</v>
      </c>
      <c r="AO156" s="548">
        <f>IF(AO116="","",SUMIFS('Detailed Feasibility'!$N$65:$N$86,$C$65:$C$86,'Detailed Feasibility'!$B$156,'Detailed Feasibility'!$F$65:$F$86,'Detailed Feasibility'!AO116)+SUMIFS($O$65:$O$86,$C$65:$C$86,$B$156,$G$65:$G$86,AO116)+SUMIFS($P$65:$P$86,$C$65:$C$86,$B$156,$H$65:$H$86,AO116))</f>
        <v>0</v>
      </c>
      <c r="AP156" s="548">
        <f>IF(AP116="","",SUMIFS('Detailed Feasibility'!$N$65:$N$86,$C$65:$C$86,'Detailed Feasibility'!$B$156,'Detailed Feasibility'!$F$65:$F$86,'Detailed Feasibility'!AP116)+SUMIFS($O$65:$O$86,$C$65:$C$86,$B$156,$G$65:$G$86,AP116)+SUMIFS($P$65:$P$86,$C$65:$C$86,$B$156,$H$65:$H$86,AP116))</f>
        <v>0</v>
      </c>
      <c r="AQ156" s="548" t="str">
        <f>IF(AQ116="","",SUMIFS('Detailed Feasibility'!$N$65:$N$86,$C$65:$C$86,'Detailed Feasibility'!$B$156,'Detailed Feasibility'!$F$65:$F$86,'Detailed Feasibility'!AQ116)+SUMIFS($O$65:$O$86,$C$65:$C$86,$B$156,$G$65:$G$86,AQ116)+SUMIFS($P$65:$P$86,$C$65:$C$86,$B$156,$H$65:$H$86,AQ116))</f>
        <v/>
      </c>
      <c r="AR156" s="548" t="str">
        <f>IF(AR116="","",SUMIFS('Detailed Feasibility'!$N$65:$N$86,$C$65:$C$86,'Detailed Feasibility'!$B$156,'Detailed Feasibility'!$F$65:$F$86,'Detailed Feasibility'!AR116)+SUMIFS($O$65:$O$86,$C$65:$C$86,$B$156,$G$65:$G$86,AR116)+SUMIFS($P$65:$P$86,$C$65:$C$86,$B$156,$H$65:$H$86,AR116))</f>
        <v/>
      </c>
      <c r="AS156" s="548" t="str">
        <f>IF(AS116="","",SUMIFS('Detailed Feasibility'!$N$65:$N$86,$C$65:$C$86,'Detailed Feasibility'!$B$156,'Detailed Feasibility'!$F$65:$F$86,'Detailed Feasibility'!AS116)+SUMIFS($O$65:$O$86,$C$65:$C$86,$B$156,$G$65:$G$86,AS116)+SUMIFS($P$65:$P$86,$C$65:$C$86,$B$156,$H$65:$H$86,AS116))</f>
        <v/>
      </c>
      <c r="AT156" s="548" t="str">
        <f>IF(AT116="","",SUMIFS('Detailed Feasibility'!$N$65:$N$86,$C$65:$C$86,'Detailed Feasibility'!$B$156,'Detailed Feasibility'!$F$65:$F$86,'Detailed Feasibility'!AT116)+SUMIFS($O$65:$O$86,$C$65:$C$86,$B$156,$G$65:$G$86,AT116)+SUMIFS($P$65:$P$86,$C$65:$C$86,$B$156,$H$65:$H$86,AT116))</f>
        <v/>
      </c>
      <c r="AU156" s="548" t="str">
        <f>IF(AU116="","",SUMIFS('Detailed Feasibility'!$N$65:$N$86,$C$65:$C$86,'Detailed Feasibility'!$B$156,'Detailed Feasibility'!$F$65:$F$86,'Detailed Feasibility'!AU116)+SUMIFS($O$65:$O$86,$C$65:$C$86,$B$156,$G$65:$G$86,AU116)+SUMIFS($P$65:$P$86,$C$65:$C$86,$B$156,$H$65:$H$86,AU116))</f>
        <v/>
      </c>
      <c r="AV156" s="548" t="str">
        <f>IF(AV116="","",SUMIFS('Detailed Feasibility'!$N$65:$N$86,$C$65:$C$86,'Detailed Feasibility'!$B$156,'Detailed Feasibility'!$F$65:$F$86,'Detailed Feasibility'!AV116)+SUMIFS($O$65:$O$86,$C$65:$C$86,$B$156,$G$65:$G$86,AV116)+SUMIFS($P$65:$P$86,$C$65:$C$86,$B$156,$H$65:$H$86,AV116))</f>
        <v/>
      </c>
      <c r="AW156" s="548" t="str">
        <f>IF(AW116="","",SUMIFS('Detailed Feasibility'!$N$65:$N$86,$C$65:$C$86,'Detailed Feasibility'!$B$156,'Detailed Feasibility'!$F$65:$F$86,'Detailed Feasibility'!AW116)+SUMIFS($O$65:$O$86,$C$65:$C$86,$B$156,$G$65:$G$86,AW116)+SUMIFS($P$65:$P$86,$C$65:$C$86,$B$156,$H$65:$H$86,AW116))</f>
        <v/>
      </c>
      <c r="AX156" s="548" t="str">
        <f>IF(AX116="","",SUMIFS('Detailed Feasibility'!$N$65:$N$86,$C$65:$C$86,'Detailed Feasibility'!$B$156,'Detailed Feasibility'!$F$65:$F$86,'Detailed Feasibility'!AX116)+SUMIFS($O$65:$O$86,$C$65:$C$86,$B$156,$G$65:$G$86,AX116)+SUMIFS($P$65:$P$86,$C$65:$C$86,$B$156,$H$65:$H$86,AX116))</f>
        <v/>
      </c>
      <c r="AY156" s="548" t="str">
        <f>IF(AY116="","",SUMIFS('Detailed Feasibility'!$N$65:$N$86,$C$65:$C$86,'Detailed Feasibility'!$B$156,'Detailed Feasibility'!$F$65:$F$86,'Detailed Feasibility'!AY116)+SUMIFS($O$65:$O$86,$C$65:$C$86,$B$156,$G$65:$G$86,AY116)+SUMIFS($P$65:$P$86,$C$65:$C$86,$B$156,$H$65:$H$86,AY116))</f>
        <v/>
      </c>
      <c r="AZ156" s="548" t="str">
        <f>IF(AZ116="","",SUMIFS('Detailed Feasibility'!$N$65:$N$86,$C$65:$C$86,'Detailed Feasibility'!$B$156,'Detailed Feasibility'!$F$65:$F$86,'Detailed Feasibility'!AZ116)+SUMIFS($O$65:$O$86,$C$65:$C$86,$B$156,$G$65:$G$86,AZ116)+SUMIFS($P$65:$P$86,$C$65:$C$86,$B$156,$H$65:$H$86,AZ116))</f>
        <v/>
      </c>
      <c r="BA156" s="548" t="str">
        <f>IF(BA116="","",SUMIFS('Detailed Feasibility'!$N$65:$N$86,$C$65:$C$86,'Detailed Feasibility'!$B$156,'Detailed Feasibility'!$F$65:$F$86,'Detailed Feasibility'!BA116)+SUMIFS($O$65:$O$86,$C$65:$C$86,$B$156,$G$65:$G$86,BA116)+SUMIFS($P$65:$P$86,$C$65:$C$86,$B$156,$H$65:$H$86,BA116))</f>
        <v/>
      </c>
      <c r="BB156" s="548" t="str">
        <f>IF(BB116="","",SUMIFS('Detailed Feasibility'!$N$65:$N$86,$C$65:$C$86,'Detailed Feasibility'!$B$156,'Detailed Feasibility'!$F$65:$F$86,'Detailed Feasibility'!BB116)+SUMIFS($O$65:$O$86,$C$65:$C$86,$B$156,$G$65:$G$86,BB116)+SUMIFS($P$65:$P$86,$C$65:$C$86,$B$156,$H$65:$H$86,BB116))</f>
        <v/>
      </c>
      <c r="BC156" s="548" t="str">
        <f>IF(BC116="","",SUMIFS('Detailed Feasibility'!$N$65:$N$86,$C$65:$C$86,'Detailed Feasibility'!$B$156,'Detailed Feasibility'!$F$65:$F$86,'Detailed Feasibility'!BC116)+SUMIFS($O$65:$O$86,$C$65:$C$86,$B$156,$G$65:$G$86,BC116)+SUMIFS($P$65:$P$86,$C$65:$C$86,$B$156,$H$65:$H$86,BC116))</f>
        <v/>
      </c>
      <c r="BD156" s="548" t="str">
        <f>IF(BD116="","",SUMIFS('Detailed Feasibility'!$N$65:$N$86,$C$65:$C$86,'Detailed Feasibility'!$B$156,'Detailed Feasibility'!$F$65:$F$86,'Detailed Feasibility'!BD116)+SUMIFS($O$65:$O$86,$C$65:$C$86,$B$156,$G$65:$G$86,BD116)+SUMIFS($P$65:$P$86,$C$65:$C$86,$B$156,$H$65:$H$86,BD116))</f>
        <v/>
      </c>
      <c r="BE156" s="548" t="str">
        <f>IF(BE116="","",SUMIFS('Detailed Feasibility'!$N$65:$N$86,$C$65:$C$86,'Detailed Feasibility'!$B$156,'Detailed Feasibility'!$F$65:$F$86,'Detailed Feasibility'!BE116)+SUMIFS($O$65:$O$86,$C$65:$C$86,$B$156,$G$65:$G$86,BE116)+SUMIFS($P$65:$P$86,$C$65:$C$86,$B$156,$H$65:$H$86,BE116))</f>
        <v/>
      </c>
      <c r="BF156" s="548" t="str">
        <f>IF(BF116="","",SUMIFS('Detailed Feasibility'!$N$65:$N$86,$C$65:$C$86,'Detailed Feasibility'!$B$156,'Detailed Feasibility'!$F$65:$F$86,'Detailed Feasibility'!BF116)+SUMIFS($O$65:$O$86,$C$65:$C$86,$B$156,$G$65:$G$86,BF116)+SUMIFS($P$65:$P$86,$C$65:$C$86,$B$156,$H$65:$H$86,BF116))</f>
        <v/>
      </c>
      <c r="BG156" s="548" t="str">
        <f>IF(BG116="","",SUMIFS('Detailed Feasibility'!$N$65:$N$86,$C$65:$C$86,'Detailed Feasibility'!$B$156,'Detailed Feasibility'!$F$65:$F$86,'Detailed Feasibility'!BG116)+SUMIFS($O$65:$O$86,$C$65:$C$86,$B$156,$G$65:$G$86,BG116)+SUMIFS($P$65:$P$86,$C$65:$C$86,$B$156,$H$65:$H$86,BG116))</f>
        <v/>
      </c>
      <c r="BH156" s="548" t="str">
        <f>IF(BH116="","",SUMIFS('Detailed Feasibility'!$N$65:$N$86,$C$65:$C$86,'Detailed Feasibility'!$B$156,'Detailed Feasibility'!$F$65:$F$86,'Detailed Feasibility'!BH116)+SUMIFS($O$65:$O$86,$C$65:$C$86,$B$156,$G$65:$G$86,BH116)+SUMIFS($P$65:$P$86,$C$65:$C$86,$B$156,$H$65:$H$86,BH116))</f>
        <v/>
      </c>
      <c r="BI156" s="548" t="str">
        <f>IF(BI116="","",SUMIFS('Detailed Feasibility'!$N$65:$N$86,$C$65:$C$86,'Detailed Feasibility'!$B$156,'Detailed Feasibility'!$F$65:$F$86,'Detailed Feasibility'!BI116)+SUMIFS($O$65:$O$86,$C$65:$C$86,$B$156,$G$65:$G$86,BI116)+SUMIFS($P$65:$P$86,$C$65:$C$86,$B$156,$H$65:$H$86,BI116))</f>
        <v/>
      </c>
      <c r="BJ156" s="548" t="str">
        <f>IF(BJ116="","",SUMIFS('Detailed Feasibility'!$N$65:$N$86,$C$65:$C$86,'Detailed Feasibility'!$B$156,'Detailed Feasibility'!$F$65:$F$86,'Detailed Feasibility'!BJ116)+SUMIFS($O$65:$O$86,$C$65:$C$86,$B$156,$G$65:$G$86,BJ116)+SUMIFS($P$65:$P$86,$C$65:$C$86,$B$156,$H$65:$H$86,BJ116))</f>
        <v/>
      </c>
      <c r="BK156" s="548" t="str">
        <f>IF(BK116="","",SUMIFS('Detailed Feasibility'!$N$65:$N$86,$C$65:$C$86,'Detailed Feasibility'!$B$156,'Detailed Feasibility'!$F$65:$F$86,'Detailed Feasibility'!BK116)+SUMIFS($O$65:$O$86,$C$65:$C$86,$B$156,$G$65:$G$86,BK116)+SUMIFS($P$65:$P$86,$C$65:$C$86,$B$156,$H$65:$H$86,BK116))</f>
        <v/>
      </c>
      <c r="BL156" s="548" t="str">
        <f>IF(BL116="","",SUMIFS('Detailed Feasibility'!$N$65:$N$86,$C$65:$C$86,'Detailed Feasibility'!$B$156,'Detailed Feasibility'!$F$65:$F$86,'Detailed Feasibility'!BL116)+SUMIFS($O$65:$O$86,$C$65:$C$86,$B$156,$G$65:$G$86,BL116)+SUMIFS($P$65:$P$86,$C$65:$C$86,$B$156,$H$65:$H$86,BL116))</f>
        <v/>
      </c>
      <c r="BM156" s="56" t="str">
        <f>IF(BM116="","",SUMIFS('Detailed Feasibility'!$N$65:$N$86,$C$65:$C$86,'Detailed Feasibility'!$B$156,'Detailed Feasibility'!$F$65:$F$86,'Detailed Feasibility'!BM116)+SUMIFS($O$65:$O$86,$C$65:$C$86,$B$156,$G$65:$G$86,BM116)+SUMIFS($P$65:$P$86,$C$65:$C$86,$B$156,$H$65:$H$86,BM116))</f>
        <v/>
      </c>
    </row>
    <row r="157" spans="2:65" s="1" customFormat="1" x14ac:dyDescent="0.25">
      <c r="B157" s="547" t="str">
        <f t="shared" si="29"/>
        <v>6 Bed</v>
      </c>
      <c r="C157" s="187"/>
      <c r="D157" s="20">
        <f>'Detailed Feasibility Inputs'!$F$58</f>
        <v>0</v>
      </c>
      <c r="E157" s="187">
        <f t="shared" si="30"/>
        <v>1</v>
      </c>
      <c r="F157" s="548">
        <f>SUMIFS('Detailed Feasibility'!$N$65:$N$86,$C$65:$C$86,'Detailed Feasibility'!$B$157,'Detailed Feasibility'!$F$65:$F$86,'Detailed Feasibility'!F116)+SUMIFS($O$65:$O$86,$C$65:$C$86,$B$157,$G$65:$G$86,F116)+SUMIFS($P$65:$P$86,$C$65:$C$86,$B$157,$H$65:$H$86,F116)</f>
        <v>0</v>
      </c>
      <c r="G157" s="548">
        <f>IF(G116="","",SUMIFS('Detailed Feasibility'!$N$65:$N$86,$C$65:$C$86,'Detailed Feasibility'!$B$157,'Detailed Feasibility'!$F$65:$F$86,'Detailed Feasibility'!G116)+SUMIFS($O$65:$O$86,$C$65:$C$86,$B$157,$G$65:$G$86,G116)+SUMIFS($P$65:$P$86,$C$65:$C$86,$B$157,$H$65:$H$86,G116))</f>
        <v>0</v>
      </c>
      <c r="H157" s="548">
        <f>IF(H116="","",SUMIFS('Detailed Feasibility'!$N$65:$N$86,$C$65:$C$86,'Detailed Feasibility'!$B$157,'Detailed Feasibility'!$F$65:$F$86,'Detailed Feasibility'!H116)+SUMIFS($O$65:$O$86,$C$65:$C$86,$B$157,$G$65:$G$86,H116)+SUMIFS($P$65:$P$86,$C$65:$C$86,$B$157,$H$65:$H$86,H116))</f>
        <v>0</v>
      </c>
      <c r="I157" s="548">
        <f>IF(I116="","",SUMIFS('Detailed Feasibility'!$N$65:$N$86,$C$65:$C$86,'Detailed Feasibility'!$B$157,'Detailed Feasibility'!$F$65:$F$86,'Detailed Feasibility'!I116)+SUMIFS($O$65:$O$86,$C$65:$C$86,$B$157,$G$65:$G$86,I116)+SUMIFS($P$65:$P$86,$C$65:$C$86,$B$157,$H$65:$H$86,I116))</f>
        <v>0</v>
      </c>
      <c r="J157" s="548">
        <f>IF(J116="","",SUMIFS('Detailed Feasibility'!$N$65:$N$86,$C$65:$C$86,'Detailed Feasibility'!$B$157,'Detailed Feasibility'!$F$65:$F$86,'Detailed Feasibility'!J116)+SUMIFS($O$65:$O$86,$C$65:$C$86,$B$157,$G$65:$G$86,J116)+SUMIFS($P$65:$P$86,$C$65:$C$86,$B$157,$H$65:$H$86,J116))</f>
        <v>0</v>
      </c>
      <c r="K157" s="548">
        <f>IF(K116="","",SUMIFS('Detailed Feasibility'!$N$65:$N$86,$C$65:$C$86,'Detailed Feasibility'!$B$157,'Detailed Feasibility'!$F$65:$F$86,'Detailed Feasibility'!K116)+SUMIFS($O$65:$O$86,$C$65:$C$86,$B$157,$G$65:$G$86,K116)+SUMIFS($P$65:$P$86,$C$65:$C$86,$B$157,$H$65:$H$86,K116))</f>
        <v>0</v>
      </c>
      <c r="L157" s="548">
        <f>IF(L116="","",SUMIFS('Detailed Feasibility'!$N$65:$N$86,$C$65:$C$86,'Detailed Feasibility'!$B$157,'Detailed Feasibility'!$F$65:$F$86,'Detailed Feasibility'!L116)+SUMIFS($O$65:$O$86,$C$65:$C$86,$B$157,$G$65:$G$86,L116)+SUMIFS($P$65:$P$86,$C$65:$C$86,$B$157,$H$65:$H$86,L116))</f>
        <v>0</v>
      </c>
      <c r="M157" s="548">
        <f>IF(M116="","",SUMIFS('Detailed Feasibility'!$N$65:$N$86,$C$65:$C$86,'Detailed Feasibility'!$B$157,'Detailed Feasibility'!$F$65:$F$86,'Detailed Feasibility'!M116)+SUMIFS($O$65:$O$86,$C$65:$C$86,$B$157,$G$65:$G$86,M116)+SUMIFS($P$65:$P$86,$C$65:$C$86,$B$157,$H$65:$H$86,M116))</f>
        <v>0</v>
      </c>
      <c r="N157" s="548">
        <f>IF(N116="","",SUMIFS('Detailed Feasibility'!$N$65:$N$86,$C$65:$C$86,'Detailed Feasibility'!$B$157,'Detailed Feasibility'!$F$65:$F$86,'Detailed Feasibility'!N116)+SUMIFS($O$65:$O$86,$C$65:$C$86,$B$157,$G$65:$G$86,N116)+SUMIFS($P$65:$P$86,$C$65:$C$86,$B$157,$H$65:$H$86,N116))</f>
        <v>0</v>
      </c>
      <c r="O157" s="548">
        <f>IF(O116="","",SUMIFS('Detailed Feasibility'!$N$65:$N$86,$C$65:$C$86,'Detailed Feasibility'!$B$157,'Detailed Feasibility'!$F$65:$F$86,'Detailed Feasibility'!O116)+SUMIFS($O$65:$O$86,$C$65:$C$86,$B$157,$G$65:$G$86,O116)+SUMIFS($P$65:$P$86,$C$65:$C$86,$B$157,$H$65:$H$86,O116))</f>
        <v>0</v>
      </c>
      <c r="P157" s="548">
        <f>IF(P116="","",SUMIFS('Detailed Feasibility'!$N$65:$N$86,$C$65:$C$86,'Detailed Feasibility'!$B$157,'Detailed Feasibility'!$F$65:$F$86,'Detailed Feasibility'!P116)+SUMIFS($O$65:$O$86,$C$65:$C$86,$B$157,$G$65:$G$86,P116)+SUMIFS($P$65:$P$86,$C$65:$C$86,$B$157,$H$65:$H$86,P116))</f>
        <v>0</v>
      </c>
      <c r="Q157" s="548">
        <f>IF(Q116="","",SUMIFS('Detailed Feasibility'!$N$65:$N$86,$C$65:$C$86,'Detailed Feasibility'!$B$157,'Detailed Feasibility'!$F$65:$F$86,'Detailed Feasibility'!Q116)+SUMIFS($O$65:$O$86,$C$65:$C$86,$B$157,$G$65:$G$86,Q116)+SUMIFS($P$65:$P$86,$C$65:$C$86,$B$157,$H$65:$H$86,Q116))</f>
        <v>0</v>
      </c>
      <c r="R157" s="548">
        <f>IF(R116="","",SUMIFS('Detailed Feasibility'!$N$65:$N$86,$C$65:$C$86,'Detailed Feasibility'!$B$157,'Detailed Feasibility'!$F$65:$F$86,'Detailed Feasibility'!R116)+SUMIFS($O$65:$O$86,$C$65:$C$86,$B$157,$G$65:$G$86,R116)+SUMIFS($P$65:$P$86,$C$65:$C$86,$B$157,$H$65:$H$86,R116))</f>
        <v>0</v>
      </c>
      <c r="S157" s="548">
        <f>IF(S116="","",SUMIFS('Detailed Feasibility'!$N$65:$N$86,$C$65:$C$86,'Detailed Feasibility'!$B$157,'Detailed Feasibility'!$F$65:$F$86,'Detailed Feasibility'!S116)+SUMIFS($O$65:$O$86,$C$65:$C$86,$B$157,$G$65:$G$86,S116)+SUMIFS($P$65:$P$86,$C$65:$C$86,$B$157,$H$65:$H$86,S116))</f>
        <v>0</v>
      </c>
      <c r="T157" s="548">
        <f>IF(T116="","",SUMIFS('Detailed Feasibility'!$N$65:$N$86,$C$65:$C$86,'Detailed Feasibility'!$B$157,'Detailed Feasibility'!$F$65:$F$86,'Detailed Feasibility'!T116)+SUMIFS($O$65:$O$86,$C$65:$C$86,$B$157,$G$65:$G$86,T116)+SUMIFS($P$65:$P$86,$C$65:$C$86,$B$157,$H$65:$H$86,T116))</f>
        <v>0</v>
      </c>
      <c r="U157" s="548">
        <f>IF(U116="","",SUMIFS('Detailed Feasibility'!$N$65:$N$86,$C$65:$C$86,'Detailed Feasibility'!$B$157,'Detailed Feasibility'!$F$65:$F$86,'Detailed Feasibility'!U116)+SUMIFS($O$65:$O$86,$C$65:$C$86,$B$157,$G$65:$G$86,U116)+SUMIFS($P$65:$P$86,$C$65:$C$86,$B$157,$H$65:$H$86,U116))</f>
        <v>0</v>
      </c>
      <c r="V157" s="548">
        <f>IF(V116="","",SUMIFS('Detailed Feasibility'!$N$65:$N$86,$C$65:$C$86,'Detailed Feasibility'!$B$157,'Detailed Feasibility'!$F$65:$F$86,'Detailed Feasibility'!V116)+SUMIFS($O$65:$O$86,$C$65:$C$86,$B$157,$G$65:$G$86,V116)+SUMIFS($P$65:$P$86,$C$65:$C$86,$B$157,$H$65:$H$86,V116))</f>
        <v>0</v>
      </c>
      <c r="W157" s="548">
        <f>IF(W116="","",SUMIFS('Detailed Feasibility'!$N$65:$N$86,$C$65:$C$86,'Detailed Feasibility'!$B$157,'Detailed Feasibility'!$F$65:$F$86,'Detailed Feasibility'!W116)+SUMIFS($O$65:$O$86,$C$65:$C$86,$B$157,$G$65:$G$86,W116)+SUMIFS($P$65:$P$86,$C$65:$C$86,$B$157,$H$65:$H$86,W116))</f>
        <v>0</v>
      </c>
      <c r="X157" s="548">
        <f>IF(X116="","",SUMIFS('Detailed Feasibility'!$N$65:$N$86,$C$65:$C$86,'Detailed Feasibility'!$B$157,'Detailed Feasibility'!$F$65:$F$86,'Detailed Feasibility'!X116)+SUMIFS($O$65:$O$86,$C$65:$C$86,$B$157,$G$65:$G$86,X116)+SUMIFS($P$65:$P$86,$C$65:$C$86,$B$157,$H$65:$H$86,X116))</f>
        <v>0</v>
      </c>
      <c r="Y157" s="548">
        <f>IF(Y116="","",SUMIFS('Detailed Feasibility'!$N$65:$N$86,$C$65:$C$86,'Detailed Feasibility'!$B$157,'Detailed Feasibility'!$F$65:$F$86,'Detailed Feasibility'!Y116)+SUMIFS($O$65:$O$86,$C$65:$C$86,$B$157,$G$65:$G$86,Y116)+SUMIFS($P$65:$P$86,$C$65:$C$86,$B$157,$H$65:$H$86,Y116))</f>
        <v>0</v>
      </c>
      <c r="Z157" s="548">
        <f>IF(Z116="","",SUMIFS('Detailed Feasibility'!$N$65:$N$86,$C$65:$C$86,'Detailed Feasibility'!$B$157,'Detailed Feasibility'!$F$65:$F$86,'Detailed Feasibility'!Z116)+SUMIFS($O$65:$O$86,$C$65:$C$86,$B$157,$G$65:$G$86,Z116)+SUMIFS($P$65:$P$86,$C$65:$C$86,$B$157,$H$65:$H$86,Z116))</f>
        <v>0</v>
      </c>
      <c r="AA157" s="548">
        <f>IF(AA116="","",SUMIFS('Detailed Feasibility'!$N$65:$N$86,$C$65:$C$86,'Detailed Feasibility'!$B$157,'Detailed Feasibility'!$F$65:$F$86,'Detailed Feasibility'!AA116)+SUMIFS($O$65:$O$86,$C$65:$C$86,$B$157,$G$65:$G$86,AA116)+SUMIFS($P$65:$P$86,$C$65:$C$86,$B$157,$H$65:$H$86,AA116))</f>
        <v>0</v>
      </c>
      <c r="AB157" s="548">
        <f>IF(AB116="","",SUMIFS('Detailed Feasibility'!$N$65:$N$86,$C$65:$C$86,'Detailed Feasibility'!$B$157,'Detailed Feasibility'!$F$65:$F$86,'Detailed Feasibility'!AB116)+SUMIFS($O$65:$O$86,$C$65:$C$86,$B$157,$G$65:$G$86,AB116)+SUMIFS($P$65:$P$86,$C$65:$C$86,$B$157,$H$65:$H$86,AB116))</f>
        <v>0</v>
      </c>
      <c r="AC157" s="548">
        <f>IF(AC116="","",SUMIFS('Detailed Feasibility'!$N$65:$N$86,$C$65:$C$86,'Detailed Feasibility'!$B$157,'Detailed Feasibility'!$F$65:$F$86,'Detailed Feasibility'!AC116)+SUMIFS($O$65:$O$86,$C$65:$C$86,$B$157,$G$65:$G$86,AC116)+SUMIFS($P$65:$P$86,$C$65:$C$86,$B$157,$H$65:$H$86,AC116))</f>
        <v>0</v>
      </c>
      <c r="AD157" s="548">
        <f>IF(AD116="","",SUMIFS('Detailed Feasibility'!$N$65:$N$86,$C$65:$C$86,'Detailed Feasibility'!$B$157,'Detailed Feasibility'!$F$65:$F$86,'Detailed Feasibility'!AD116)+SUMIFS($O$65:$O$86,$C$65:$C$86,$B$157,$G$65:$G$86,AD116)+SUMIFS($P$65:$P$86,$C$65:$C$86,$B$157,$H$65:$H$86,AD116))</f>
        <v>0</v>
      </c>
      <c r="AE157" s="548">
        <f>IF(AE116="","",SUMIFS('Detailed Feasibility'!$N$65:$N$86,$C$65:$C$86,'Detailed Feasibility'!$B$157,'Detailed Feasibility'!$F$65:$F$86,'Detailed Feasibility'!AE116)+SUMIFS($O$65:$O$86,$C$65:$C$86,$B$157,$G$65:$G$86,AE116)+SUMIFS($P$65:$P$86,$C$65:$C$86,$B$157,$H$65:$H$86,AE116))</f>
        <v>0</v>
      </c>
      <c r="AF157" s="548">
        <f>IF(AF116="","",SUMIFS('Detailed Feasibility'!$N$65:$N$86,$C$65:$C$86,'Detailed Feasibility'!$B$157,'Detailed Feasibility'!$F$65:$F$86,'Detailed Feasibility'!AF116)+SUMIFS($O$65:$O$86,$C$65:$C$86,$B$157,$G$65:$G$86,AF116)+SUMIFS($P$65:$P$86,$C$65:$C$86,$B$157,$H$65:$H$86,AF116))</f>
        <v>0</v>
      </c>
      <c r="AG157" s="548">
        <f>IF(AG116="","",SUMIFS('Detailed Feasibility'!$N$65:$N$86,$C$65:$C$86,'Detailed Feasibility'!$B$157,'Detailed Feasibility'!$F$65:$F$86,'Detailed Feasibility'!AG116)+SUMIFS($O$65:$O$86,$C$65:$C$86,$B$157,$G$65:$G$86,AG116)+SUMIFS($P$65:$P$86,$C$65:$C$86,$B$157,$H$65:$H$86,AG116))</f>
        <v>0</v>
      </c>
      <c r="AH157" s="548">
        <f>IF(AH116="","",SUMIFS('Detailed Feasibility'!$N$65:$N$86,$C$65:$C$86,'Detailed Feasibility'!$B$157,'Detailed Feasibility'!$F$65:$F$86,'Detailed Feasibility'!AH116)+SUMIFS($O$65:$O$86,$C$65:$C$86,$B$157,$G$65:$G$86,AH116)+SUMIFS($P$65:$P$86,$C$65:$C$86,$B$157,$H$65:$H$86,AH116))</f>
        <v>0</v>
      </c>
      <c r="AI157" s="548">
        <f>IF(AI116="","",SUMIFS('Detailed Feasibility'!$N$65:$N$86,$C$65:$C$86,'Detailed Feasibility'!$B$157,'Detailed Feasibility'!$F$65:$F$86,'Detailed Feasibility'!AI116)+SUMIFS($O$65:$O$86,$C$65:$C$86,$B$157,$G$65:$G$86,AI116)+SUMIFS($P$65:$P$86,$C$65:$C$86,$B$157,$H$65:$H$86,AI116))</f>
        <v>0</v>
      </c>
      <c r="AJ157" s="548">
        <f>IF(AJ116="","",SUMIFS('Detailed Feasibility'!$N$65:$N$86,$C$65:$C$86,'Detailed Feasibility'!$B$157,'Detailed Feasibility'!$F$65:$F$86,'Detailed Feasibility'!AJ116)+SUMIFS($O$65:$O$86,$C$65:$C$86,$B$157,$G$65:$G$86,AJ116)+SUMIFS($P$65:$P$86,$C$65:$C$86,$B$157,$H$65:$H$86,AJ116))</f>
        <v>0</v>
      </c>
      <c r="AK157" s="548">
        <f>IF(AK116="","",SUMIFS('Detailed Feasibility'!$N$65:$N$86,$C$65:$C$86,'Detailed Feasibility'!$B$157,'Detailed Feasibility'!$F$65:$F$86,'Detailed Feasibility'!AK116)+SUMIFS($O$65:$O$86,$C$65:$C$86,$B$157,$G$65:$G$86,AK116)+SUMIFS($P$65:$P$86,$C$65:$C$86,$B$157,$H$65:$H$86,AK116))</f>
        <v>0</v>
      </c>
      <c r="AL157" s="548">
        <f>IF(AL116="","",SUMIFS('Detailed Feasibility'!$N$65:$N$86,$C$65:$C$86,'Detailed Feasibility'!$B$157,'Detailed Feasibility'!$F$65:$F$86,'Detailed Feasibility'!AL116)+SUMIFS($O$65:$O$86,$C$65:$C$86,$B$157,$G$65:$G$86,AL116)+SUMIFS($P$65:$P$86,$C$65:$C$86,$B$157,$H$65:$H$86,AL116))</f>
        <v>0</v>
      </c>
      <c r="AM157" s="548">
        <f>IF(AM116="","",SUMIFS('Detailed Feasibility'!$N$65:$N$86,$C$65:$C$86,'Detailed Feasibility'!$B$157,'Detailed Feasibility'!$F$65:$F$86,'Detailed Feasibility'!AM116)+SUMIFS($O$65:$O$86,$C$65:$C$86,$B$157,$G$65:$G$86,AM116)+SUMIFS($P$65:$P$86,$C$65:$C$86,$B$157,$H$65:$H$86,AM116))</f>
        <v>0</v>
      </c>
      <c r="AN157" s="548">
        <f>IF(AN116="","",SUMIFS('Detailed Feasibility'!$N$65:$N$86,$C$65:$C$86,'Detailed Feasibility'!$B$157,'Detailed Feasibility'!$F$65:$F$86,'Detailed Feasibility'!AN116)+SUMIFS($O$65:$O$86,$C$65:$C$86,$B$157,$G$65:$G$86,AN116)+SUMIFS($P$65:$P$86,$C$65:$C$86,$B$157,$H$65:$H$86,AN116))</f>
        <v>0</v>
      </c>
      <c r="AO157" s="548">
        <f>IF(AO116="","",SUMIFS('Detailed Feasibility'!$N$65:$N$86,$C$65:$C$86,'Detailed Feasibility'!$B$157,'Detailed Feasibility'!$F$65:$F$86,'Detailed Feasibility'!AO116)+SUMIFS($O$65:$O$86,$C$65:$C$86,$B$157,$G$65:$G$86,AO116)+SUMIFS($P$65:$P$86,$C$65:$C$86,$B$157,$H$65:$H$86,AO116))</f>
        <v>0</v>
      </c>
      <c r="AP157" s="548">
        <f>IF(AP116="","",SUMIFS('Detailed Feasibility'!$N$65:$N$86,$C$65:$C$86,'Detailed Feasibility'!$B$157,'Detailed Feasibility'!$F$65:$F$86,'Detailed Feasibility'!AP116)+SUMIFS($O$65:$O$86,$C$65:$C$86,$B$157,$G$65:$G$86,AP116)+SUMIFS($P$65:$P$86,$C$65:$C$86,$B$157,$H$65:$H$86,AP116))</f>
        <v>0</v>
      </c>
      <c r="AQ157" s="548" t="str">
        <f>IF(AQ116="","",SUMIFS('Detailed Feasibility'!$N$65:$N$86,$C$65:$C$86,'Detailed Feasibility'!$B$157,'Detailed Feasibility'!$F$65:$F$86,'Detailed Feasibility'!AQ116)+SUMIFS($O$65:$O$86,$C$65:$C$86,$B$157,$G$65:$G$86,AQ116)+SUMIFS($P$65:$P$86,$C$65:$C$86,$B$157,$H$65:$H$86,AQ116))</f>
        <v/>
      </c>
      <c r="AR157" s="548" t="str">
        <f>IF(AR116="","",SUMIFS('Detailed Feasibility'!$N$65:$N$86,$C$65:$C$86,'Detailed Feasibility'!$B$157,'Detailed Feasibility'!$F$65:$F$86,'Detailed Feasibility'!AR116)+SUMIFS($O$65:$O$86,$C$65:$C$86,$B$157,$G$65:$G$86,AR116)+SUMIFS($P$65:$P$86,$C$65:$C$86,$B$157,$H$65:$H$86,AR116))</f>
        <v/>
      </c>
      <c r="AS157" s="548" t="str">
        <f>IF(AS116="","",SUMIFS('Detailed Feasibility'!$N$65:$N$86,$C$65:$C$86,'Detailed Feasibility'!$B$157,'Detailed Feasibility'!$F$65:$F$86,'Detailed Feasibility'!AS116)+SUMIFS($O$65:$O$86,$C$65:$C$86,$B$157,$G$65:$G$86,AS116)+SUMIFS($P$65:$P$86,$C$65:$C$86,$B$157,$H$65:$H$86,AS116))</f>
        <v/>
      </c>
      <c r="AT157" s="548" t="str">
        <f>IF(AT116="","",SUMIFS('Detailed Feasibility'!$N$65:$N$86,$C$65:$C$86,'Detailed Feasibility'!$B$157,'Detailed Feasibility'!$F$65:$F$86,'Detailed Feasibility'!AT116)+SUMIFS($O$65:$O$86,$C$65:$C$86,$B$157,$G$65:$G$86,AT116)+SUMIFS($P$65:$P$86,$C$65:$C$86,$B$157,$H$65:$H$86,AT116))</f>
        <v/>
      </c>
      <c r="AU157" s="548" t="str">
        <f>IF(AU116="","",SUMIFS('Detailed Feasibility'!$N$65:$N$86,$C$65:$C$86,'Detailed Feasibility'!$B$157,'Detailed Feasibility'!$F$65:$F$86,'Detailed Feasibility'!AU116)+SUMIFS($O$65:$O$86,$C$65:$C$86,$B$157,$G$65:$G$86,AU116)+SUMIFS($P$65:$P$86,$C$65:$C$86,$B$157,$H$65:$H$86,AU116))</f>
        <v/>
      </c>
      <c r="AV157" s="548" t="str">
        <f>IF(AV116="","",SUMIFS('Detailed Feasibility'!$N$65:$N$86,$C$65:$C$86,'Detailed Feasibility'!$B$157,'Detailed Feasibility'!$F$65:$F$86,'Detailed Feasibility'!AV116)+SUMIFS($O$65:$O$86,$C$65:$C$86,$B$157,$G$65:$G$86,AV116)+SUMIFS($P$65:$P$86,$C$65:$C$86,$B$157,$H$65:$H$86,AV116))</f>
        <v/>
      </c>
      <c r="AW157" s="548" t="str">
        <f>IF(AW116="","",SUMIFS('Detailed Feasibility'!$N$65:$N$86,$C$65:$C$86,'Detailed Feasibility'!$B$157,'Detailed Feasibility'!$F$65:$F$86,'Detailed Feasibility'!AW116)+SUMIFS($O$65:$O$86,$C$65:$C$86,$B$157,$G$65:$G$86,AW116)+SUMIFS($P$65:$P$86,$C$65:$C$86,$B$157,$H$65:$H$86,AW116))</f>
        <v/>
      </c>
      <c r="AX157" s="548" t="str">
        <f>IF(AX116="","",SUMIFS('Detailed Feasibility'!$N$65:$N$86,$C$65:$C$86,'Detailed Feasibility'!$B$157,'Detailed Feasibility'!$F$65:$F$86,'Detailed Feasibility'!AX116)+SUMIFS($O$65:$O$86,$C$65:$C$86,$B$157,$G$65:$G$86,AX116)+SUMIFS($P$65:$P$86,$C$65:$C$86,$B$157,$H$65:$H$86,AX116))</f>
        <v/>
      </c>
      <c r="AY157" s="548" t="str">
        <f>IF(AY116="","",SUMIFS('Detailed Feasibility'!$N$65:$N$86,$C$65:$C$86,'Detailed Feasibility'!$B$157,'Detailed Feasibility'!$F$65:$F$86,'Detailed Feasibility'!AY116)+SUMIFS($O$65:$O$86,$C$65:$C$86,$B$157,$G$65:$G$86,AY116)+SUMIFS($P$65:$P$86,$C$65:$C$86,$B$157,$H$65:$H$86,AY116))</f>
        <v/>
      </c>
      <c r="AZ157" s="548" t="str">
        <f>IF(AZ116="","",SUMIFS('Detailed Feasibility'!$N$65:$N$86,$C$65:$C$86,'Detailed Feasibility'!$B$157,'Detailed Feasibility'!$F$65:$F$86,'Detailed Feasibility'!AZ116)+SUMIFS($O$65:$O$86,$C$65:$C$86,$B$157,$G$65:$G$86,AZ116)+SUMIFS($P$65:$P$86,$C$65:$C$86,$B$157,$H$65:$H$86,AZ116))</f>
        <v/>
      </c>
      <c r="BA157" s="548" t="str">
        <f>IF(BA116="","",SUMIFS('Detailed Feasibility'!$N$65:$N$86,$C$65:$C$86,'Detailed Feasibility'!$B$157,'Detailed Feasibility'!$F$65:$F$86,'Detailed Feasibility'!BA116)+SUMIFS($O$65:$O$86,$C$65:$C$86,$B$157,$G$65:$G$86,BA116)+SUMIFS($P$65:$P$86,$C$65:$C$86,$B$157,$H$65:$H$86,BA116))</f>
        <v/>
      </c>
      <c r="BB157" s="548" t="str">
        <f>IF(BB116="","",SUMIFS('Detailed Feasibility'!$N$65:$N$86,$C$65:$C$86,'Detailed Feasibility'!$B$157,'Detailed Feasibility'!$F$65:$F$86,'Detailed Feasibility'!BB116)+SUMIFS($O$65:$O$86,$C$65:$C$86,$B$157,$G$65:$G$86,BB116)+SUMIFS($P$65:$P$86,$C$65:$C$86,$B$157,$H$65:$H$86,BB116))</f>
        <v/>
      </c>
      <c r="BC157" s="548" t="str">
        <f>IF(BC116="","",SUMIFS('Detailed Feasibility'!$N$65:$N$86,$C$65:$C$86,'Detailed Feasibility'!$B$157,'Detailed Feasibility'!$F$65:$F$86,'Detailed Feasibility'!BC116)+SUMIFS($O$65:$O$86,$C$65:$C$86,$B$157,$G$65:$G$86,BC116)+SUMIFS($P$65:$P$86,$C$65:$C$86,$B$157,$H$65:$H$86,BC116))</f>
        <v/>
      </c>
      <c r="BD157" s="548" t="str">
        <f>IF(BD116="","",SUMIFS('Detailed Feasibility'!$N$65:$N$86,$C$65:$C$86,'Detailed Feasibility'!$B$157,'Detailed Feasibility'!$F$65:$F$86,'Detailed Feasibility'!BD116)+SUMIFS($O$65:$O$86,$C$65:$C$86,$B$157,$G$65:$G$86,BD116)+SUMIFS($P$65:$P$86,$C$65:$C$86,$B$157,$H$65:$H$86,BD116))</f>
        <v/>
      </c>
      <c r="BE157" s="548" t="str">
        <f>IF(BE116="","",SUMIFS('Detailed Feasibility'!$N$65:$N$86,$C$65:$C$86,'Detailed Feasibility'!$B$157,'Detailed Feasibility'!$F$65:$F$86,'Detailed Feasibility'!BE116)+SUMIFS($O$65:$O$86,$C$65:$C$86,$B$157,$G$65:$G$86,BE116)+SUMIFS($P$65:$P$86,$C$65:$C$86,$B$157,$H$65:$H$86,BE116))</f>
        <v/>
      </c>
      <c r="BF157" s="548" t="str">
        <f>IF(BF116="","",SUMIFS('Detailed Feasibility'!$N$65:$N$86,$C$65:$C$86,'Detailed Feasibility'!$B$157,'Detailed Feasibility'!$F$65:$F$86,'Detailed Feasibility'!BF116)+SUMIFS($O$65:$O$86,$C$65:$C$86,$B$157,$G$65:$G$86,BF116)+SUMIFS($P$65:$P$86,$C$65:$C$86,$B$157,$H$65:$H$86,BF116))</f>
        <v/>
      </c>
      <c r="BG157" s="548" t="str">
        <f>IF(BG116="","",SUMIFS('Detailed Feasibility'!$N$65:$N$86,$C$65:$C$86,'Detailed Feasibility'!$B$157,'Detailed Feasibility'!$F$65:$F$86,'Detailed Feasibility'!BG116)+SUMIFS($O$65:$O$86,$C$65:$C$86,$B$157,$G$65:$G$86,BG116)+SUMIFS($P$65:$P$86,$C$65:$C$86,$B$157,$H$65:$H$86,BG116))</f>
        <v/>
      </c>
      <c r="BH157" s="548" t="str">
        <f>IF(BH116="","",SUMIFS('Detailed Feasibility'!$N$65:$N$86,$C$65:$C$86,'Detailed Feasibility'!$B$157,'Detailed Feasibility'!$F$65:$F$86,'Detailed Feasibility'!BH116)+SUMIFS($O$65:$O$86,$C$65:$C$86,$B$157,$G$65:$G$86,BH116)+SUMIFS($P$65:$P$86,$C$65:$C$86,$B$157,$H$65:$H$86,BH116))</f>
        <v/>
      </c>
      <c r="BI157" s="548" t="str">
        <f>IF(BI116="","",SUMIFS('Detailed Feasibility'!$N$65:$N$86,$C$65:$C$86,'Detailed Feasibility'!$B$157,'Detailed Feasibility'!$F$65:$F$86,'Detailed Feasibility'!BI116)+SUMIFS($O$65:$O$86,$C$65:$C$86,$B$157,$G$65:$G$86,BI116)+SUMIFS($P$65:$P$86,$C$65:$C$86,$B$157,$H$65:$H$86,BI116))</f>
        <v/>
      </c>
      <c r="BJ157" s="548" t="str">
        <f>IF(BJ116="","",SUMIFS('Detailed Feasibility'!$N$65:$N$86,$C$65:$C$86,'Detailed Feasibility'!$B$157,'Detailed Feasibility'!$F$65:$F$86,'Detailed Feasibility'!BJ116)+SUMIFS($O$65:$O$86,$C$65:$C$86,$B$157,$G$65:$G$86,BJ116)+SUMIFS($P$65:$P$86,$C$65:$C$86,$B$157,$H$65:$H$86,BJ116))</f>
        <v/>
      </c>
      <c r="BK157" s="548" t="str">
        <f>IF(BK116="","",SUMIFS('Detailed Feasibility'!$N$65:$N$86,$C$65:$C$86,'Detailed Feasibility'!$B$157,'Detailed Feasibility'!$F$65:$F$86,'Detailed Feasibility'!BK116)+SUMIFS($O$65:$O$86,$C$65:$C$86,$B$157,$G$65:$G$86,BK116)+SUMIFS($P$65:$P$86,$C$65:$C$86,$B$157,$H$65:$H$86,BK116))</f>
        <v/>
      </c>
      <c r="BL157" s="548" t="str">
        <f>IF(BL116="","",SUMIFS('Detailed Feasibility'!$N$65:$N$86,$C$65:$C$86,'Detailed Feasibility'!$B$157,'Detailed Feasibility'!$F$65:$F$86,'Detailed Feasibility'!BL116)+SUMIFS($O$65:$O$86,$C$65:$C$86,$B$157,$G$65:$G$86,BL116)+SUMIFS($P$65:$P$86,$C$65:$C$86,$B$157,$H$65:$H$86,BL116))</f>
        <v/>
      </c>
      <c r="BM157" s="56" t="str">
        <f>IF(BM116="","",SUMIFS('Detailed Feasibility'!$N$65:$N$86,$C$65:$C$86,'Detailed Feasibility'!$B$157,'Detailed Feasibility'!$F$65:$F$86,'Detailed Feasibility'!BM116)+SUMIFS($O$65:$O$86,$C$65:$C$86,$B$157,$G$65:$G$86,BM116)+SUMIFS($P$65:$P$86,$C$65:$C$86,$B$157,$H$65:$H$86,BM116))</f>
        <v/>
      </c>
    </row>
    <row r="158" spans="2:65" s="1" customFormat="1" x14ac:dyDescent="0.25">
      <c r="B158" s="547" t="s">
        <v>85</v>
      </c>
      <c r="C158" s="187"/>
      <c r="D158" s="20">
        <f>'Detailed Feasibility Inputs'!F$59</f>
        <v>686250</v>
      </c>
      <c r="E158" s="187">
        <f t="shared" si="30"/>
        <v>1</v>
      </c>
      <c r="F158" s="548">
        <f>SUM(F152:F157)*'Detailed Feasibility Inputs'!$E$59</f>
        <v>0</v>
      </c>
      <c r="G158" s="548">
        <f>IF(G116="","",SUM(G152:G157)*'Detailed Feasibility Inputs'!$E$59)</f>
        <v>0</v>
      </c>
      <c r="H158" s="548">
        <f>IF(H116="","",SUM(H152:H157)*'Detailed Feasibility Inputs'!$E$59)</f>
        <v>0</v>
      </c>
      <c r="I158" s="548">
        <f>IF(I116="","",SUM(I152:I157)*'Detailed Feasibility Inputs'!$E$59)</f>
        <v>0</v>
      </c>
      <c r="J158" s="548">
        <f>IF(J116="","",SUM(J152:J157)*'Detailed Feasibility Inputs'!$E$59)</f>
        <v>0</v>
      </c>
      <c r="K158" s="548">
        <f>IF(K116="","",SUM(K152:K157)*'Detailed Feasibility Inputs'!$E$59)</f>
        <v>0</v>
      </c>
      <c r="L158" s="548">
        <f>IF(L116="","",SUM(L152:L157)*'Detailed Feasibility Inputs'!$E$59)</f>
        <v>0</v>
      </c>
      <c r="M158" s="548">
        <f>IF(M116="","",SUM(M152:M157)*'Detailed Feasibility Inputs'!$E$59)</f>
        <v>0</v>
      </c>
      <c r="N158" s="548">
        <f>IF(N116="","",SUM(N152:N157)*'Detailed Feasibility Inputs'!$E$59)</f>
        <v>0</v>
      </c>
      <c r="O158" s="548">
        <f>IF(O116="","",SUM(O152:O157)*'Detailed Feasibility Inputs'!$E$59)</f>
        <v>0</v>
      </c>
      <c r="P158" s="548">
        <f>IF(P116="","",SUM(P152:P157)*'Detailed Feasibility Inputs'!$E$59)</f>
        <v>0</v>
      </c>
      <c r="Q158" s="548">
        <f>IF(Q116="","",SUM(Q152:Q157)*'Detailed Feasibility Inputs'!$E$59)</f>
        <v>0</v>
      </c>
      <c r="R158" s="548">
        <f>IF(R116="","",SUM(R152:R157)*'Detailed Feasibility Inputs'!$E$59)</f>
        <v>0</v>
      </c>
      <c r="S158" s="548">
        <f>IF(S116="","",SUM(S152:S157)*'Detailed Feasibility Inputs'!$E$59)</f>
        <v>72750</v>
      </c>
      <c r="T158" s="548">
        <f>IF(T116="","",SUM(T152:T157)*'Detailed Feasibility Inputs'!$E$59)</f>
        <v>0</v>
      </c>
      <c r="U158" s="548">
        <f>IF(U116="","",SUM(U152:U157)*'Detailed Feasibility Inputs'!$E$59)</f>
        <v>0</v>
      </c>
      <c r="V158" s="548">
        <f>IF(V116="","",SUM(V152:V157)*'Detailed Feasibility Inputs'!$E$59)</f>
        <v>72750</v>
      </c>
      <c r="W158" s="548">
        <f>IF(W116="","",SUM(W152:W157)*'Detailed Feasibility Inputs'!$E$59)</f>
        <v>72750</v>
      </c>
      <c r="X158" s="548">
        <f>IF(X116="","",SUM(X152:X157)*'Detailed Feasibility Inputs'!$E$59)</f>
        <v>0</v>
      </c>
      <c r="Y158" s="548">
        <f>IF(Y116="","",SUM(Y152:Y157)*'Detailed Feasibility Inputs'!$E$59)</f>
        <v>0</v>
      </c>
      <c r="Z158" s="548">
        <f>IF(Z116="","",SUM(Z152:Z157)*'Detailed Feasibility Inputs'!$E$59)</f>
        <v>66000</v>
      </c>
      <c r="AA158" s="548">
        <f>IF(AA116="","",SUM(AA152:AA157)*'Detailed Feasibility Inputs'!$E$59)</f>
        <v>0</v>
      </c>
      <c r="AB158" s="548">
        <f>IF(AB116="","",SUM(AB152:AB157)*'Detailed Feasibility Inputs'!$E$59)</f>
        <v>0</v>
      </c>
      <c r="AC158" s="548">
        <f>IF(AC116="","",SUM(AC152:AC157)*'Detailed Feasibility Inputs'!$E$59)</f>
        <v>156000</v>
      </c>
      <c r="AD158" s="548">
        <f>IF(AD116="","",SUM(AD152:AD157)*'Detailed Feasibility Inputs'!$E$59)</f>
        <v>66000</v>
      </c>
      <c r="AE158" s="548">
        <f>IF(AE116="","",SUM(AE152:AE157)*'Detailed Feasibility Inputs'!$E$59)</f>
        <v>0</v>
      </c>
      <c r="AF158" s="548">
        <f>IF(AF116="","",SUM(AF152:AF157)*'Detailed Feasibility Inputs'!$E$59)</f>
        <v>90000</v>
      </c>
      <c r="AG158" s="548">
        <f>IF(AG116="","",SUM(AG152:AG157)*'Detailed Feasibility Inputs'!$E$59)</f>
        <v>90000</v>
      </c>
      <c r="AH158" s="548">
        <f>IF(AH116="","",SUM(AH152:AH157)*'Detailed Feasibility Inputs'!$E$59)</f>
        <v>0</v>
      </c>
      <c r="AI158" s="548">
        <f>IF(AI116="","",SUM(AI152:AI157)*'Detailed Feasibility Inputs'!$E$59)</f>
        <v>0</v>
      </c>
      <c r="AJ158" s="548">
        <f>IF(AJ116="","",SUM(AJ152:AJ157)*'Detailed Feasibility Inputs'!$E$59)</f>
        <v>0</v>
      </c>
      <c r="AK158" s="548">
        <f>IF(AK116="","",SUM(AK152:AK157)*'Detailed Feasibility Inputs'!$E$59)</f>
        <v>0</v>
      </c>
      <c r="AL158" s="548">
        <f>IF(AL116="","",SUM(AL152:AL157)*'Detailed Feasibility Inputs'!$E$59)</f>
        <v>0</v>
      </c>
      <c r="AM158" s="548">
        <f>IF(AM116="","",SUM(AM152:AM157)*'Detailed Feasibility Inputs'!$E$59)</f>
        <v>0</v>
      </c>
      <c r="AN158" s="548">
        <f>IF(AN116="","",SUM(AN152:AN157)*'Detailed Feasibility Inputs'!$E$59)</f>
        <v>0</v>
      </c>
      <c r="AO158" s="548">
        <f>IF(AO116="","",SUM(AO152:AO157)*'Detailed Feasibility Inputs'!$E$59)</f>
        <v>0</v>
      </c>
      <c r="AP158" s="548">
        <f>IF(AP116="","",SUM(AP152:AP157)*'Detailed Feasibility Inputs'!$E$59)</f>
        <v>0</v>
      </c>
      <c r="AQ158" s="548" t="str">
        <f>IF(AQ116="","",SUM(AQ152:AQ157)*'Detailed Feasibility Inputs'!$E$59)</f>
        <v/>
      </c>
      <c r="AR158" s="548" t="str">
        <f>IF(AR116="","",SUM(AR152:AR157)*'Detailed Feasibility Inputs'!$E$59)</f>
        <v/>
      </c>
      <c r="AS158" s="548" t="str">
        <f>IF(AS116="","",SUM(AS152:AS157)*'Detailed Feasibility Inputs'!$E$59)</f>
        <v/>
      </c>
      <c r="AT158" s="548" t="str">
        <f>IF(AT116="","",SUM(AT152:AT157)*'Detailed Feasibility Inputs'!$E$59)</f>
        <v/>
      </c>
      <c r="AU158" s="548" t="str">
        <f>IF(AU116="","",SUM(AU152:AU157)*'Detailed Feasibility Inputs'!$E$59)</f>
        <v/>
      </c>
      <c r="AV158" s="548" t="str">
        <f>IF(AV116="","",SUM(AV152:AV157)*'Detailed Feasibility Inputs'!$E$59)</f>
        <v/>
      </c>
      <c r="AW158" s="548" t="str">
        <f>IF(AW116="","",SUM(AW152:AW157)*'Detailed Feasibility Inputs'!$E$59)</f>
        <v/>
      </c>
      <c r="AX158" s="548" t="str">
        <f>IF(AX116="","",SUM(AX152:AX157)*'Detailed Feasibility Inputs'!$E$59)</f>
        <v/>
      </c>
      <c r="AY158" s="548" t="str">
        <f>IF(AY116="","",SUM(AY152:AY157)*'Detailed Feasibility Inputs'!$E$59)</f>
        <v/>
      </c>
      <c r="AZ158" s="548" t="str">
        <f>IF(AZ116="","",SUM(AZ152:AZ157)*'Detailed Feasibility Inputs'!$E$59)</f>
        <v/>
      </c>
      <c r="BA158" s="548" t="str">
        <f>IF(BA116="","",SUM(BA152:BA157)*'Detailed Feasibility Inputs'!$E$59)</f>
        <v/>
      </c>
      <c r="BB158" s="548" t="str">
        <f>IF(BB116="","",SUM(BB152:BB157)*'Detailed Feasibility Inputs'!$E$59)</f>
        <v/>
      </c>
      <c r="BC158" s="548" t="str">
        <f>IF(BC116="","",SUM(BC152:BC157)*'Detailed Feasibility Inputs'!$E$59)</f>
        <v/>
      </c>
      <c r="BD158" s="548" t="str">
        <f>IF(BD116="","",SUM(BD152:BD157)*'Detailed Feasibility Inputs'!$E$59)</f>
        <v/>
      </c>
      <c r="BE158" s="548" t="str">
        <f>IF(BE116="","",SUM(BE152:BE157)*'Detailed Feasibility Inputs'!$E$59)</f>
        <v/>
      </c>
      <c r="BF158" s="548" t="str">
        <f>IF(BF116="","",SUM(BF152:BF157)*'Detailed Feasibility Inputs'!$E$59)</f>
        <v/>
      </c>
      <c r="BG158" s="548" t="str">
        <f>IF(BG116="","",SUM(BG152:BG157)*'Detailed Feasibility Inputs'!$E$59)</f>
        <v/>
      </c>
      <c r="BH158" s="548" t="str">
        <f>IF(BH116="","",SUM(BH152:BH157)*'Detailed Feasibility Inputs'!$E$59)</f>
        <v/>
      </c>
      <c r="BI158" s="548" t="str">
        <f>IF(BI116="","",SUM(BI152:BI157)*'Detailed Feasibility Inputs'!$E$59)</f>
        <v/>
      </c>
      <c r="BJ158" s="548" t="str">
        <f>IF(BJ116="","",SUM(BJ152:BJ157)*'Detailed Feasibility Inputs'!$E$59)</f>
        <v/>
      </c>
      <c r="BK158" s="548" t="str">
        <f>IF(BK116="","",SUM(BK152:BK157)*'Detailed Feasibility Inputs'!$E$59)</f>
        <v/>
      </c>
      <c r="BL158" s="548" t="str">
        <f>IF(BL116="","",SUM(BL152:BL157)*'Detailed Feasibility Inputs'!$E$59)</f>
        <v/>
      </c>
      <c r="BM158" s="56" t="str">
        <f>IF(BM116="","",SUM(BM152:BM157)*'Detailed Feasibility Inputs'!$E$59)</f>
        <v/>
      </c>
    </row>
    <row r="159" spans="2:65" s="1" customFormat="1" x14ac:dyDescent="0.25">
      <c r="B159" s="564" t="s">
        <v>94</v>
      </c>
      <c r="C159" s="187"/>
      <c r="D159" s="148"/>
      <c r="E159" s="187"/>
      <c r="F159" s="548">
        <f>-SUM(F146:F158)</f>
        <v>-2010000</v>
      </c>
      <c r="G159" s="548">
        <f>IF(G$116="","",-SUM(G146:G158))</f>
        <v>0</v>
      </c>
      <c r="H159" s="548">
        <f t="shared" ref="H159:BM159" si="31">IF(H$116="","",-SUM(H146:H158))</f>
        <v>0</v>
      </c>
      <c r="I159" s="548">
        <f t="shared" si="31"/>
        <v>0</v>
      </c>
      <c r="J159" s="548">
        <f t="shared" si="31"/>
        <v>-80193.333333333328</v>
      </c>
      <c r="K159" s="548">
        <f t="shared" si="31"/>
        <v>-111050.47619047618</v>
      </c>
      <c r="L159" s="548">
        <f t="shared" si="31"/>
        <v>-111050.47619047618</v>
      </c>
      <c r="M159" s="548">
        <f t="shared" si="31"/>
        <v>-141050.47619047618</v>
      </c>
      <c r="N159" s="548">
        <f t="shared" si="31"/>
        <v>-141050.47619047618</v>
      </c>
      <c r="O159" s="548">
        <f t="shared" si="31"/>
        <v>-141050.47619047618</v>
      </c>
      <c r="P159" s="548">
        <f t="shared" si="31"/>
        <v>-141050.47619047618</v>
      </c>
      <c r="Q159" s="548">
        <f t="shared" si="31"/>
        <v>-141050.47619047618</v>
      </c>
      <c r="R159" s="548">
        <f t="shared" si="31"/>
        <v>-141050.47619047618</v>
      </c>
      <c r="S159" s="548">
        <f t="shared" si="31"/>
        <v>-698800.47619047621</v>
      </c>
      <c r="T159" s="548">
        <f t="shared" si="31"/>
        <v>-141050.47619047618</v>
      </c>
      <c r="U159" s="548">
        <f t="shared" si="31"/>
        <v>-141050.47619047618</v>
      </c>
      <c r="V159" s="548">
        <f t="shared" si="31"/>
        <v>-698800.47619047621</v>
      </c>
      <c r="W159" s="548">
        <f t="shared" si="31"/>
        <v>-698800.47619047621</v>
      </c>
      <c r="X159" s="548">
        <f t="shared" si="31"/>
        <v>-141050.47619047618</v>
      </c>
      <c r="Y159" s="548">
        <f t="shared" si="31"/>
        <v>0</v>
      </c>
      <c r="Z159" s="548">
        <f t="shared" si="31"/>
        <v>-506000</v>
      </c>
      <c r="AA159" s="548">
        <f t="shared" si="31"/>
        <v>0</v>
      </c>
      <c r="AB159" s="548">
        <f t="shared" si="31"/>
        <v>0</v>
      </c>
      <c r="AC159" s="548">
        <f t="shared" si="31"/>
        <v>-1196000</v>
      </c>
      <c r="AD159" s="548">
        <f t="shared" si="31"/>
        <v>-506000</v>
      </c>
      <c r="AE159" s="548">
        <f t="shared" si="31"/>
        <v>0</v>
      </c>
      <c r="AF159" s="548">
        <f t="shared" si="31"/>
        <v>-690000</v>
      </c>
      <c r="AG159" s="548">
        <f t="shared" si="31"/>
        <v>-690000</v>
      </c>
      <c r="AH159" s="548">
        <f t="shared" si="31"/>
        <v>0</v>
      </c>
      <c r="AI159" s="548">
        <f t="shared" si="31"/>
        <v>0</v>
      </c>
      <c r="AJ159" s="548">
        <f t="shared" si="31"/>
        <v>0</v>
      </c>
      <c r="AK159" s="548">
        <f t="shared" si="31"/>
        <v>0</v>
      </c>
      <c r="AL159" s="548">
        <f t="shared" si="31"/>
        <v>0</v>
      </c>
      <c r="AM159" s="548">
        <f t="shared" si="31"/>
        <v>0</v>
      </c>
      <c r="AN159" s="548">
        <f t="shared" si="31"/>
        <v>0</v>
      </c>
      <c r="AO159" s="548">
        <f t="shared" si="31"/>
        <v>0</v>
      </c>
      <c r="AP159" s="548">
        <f t="shared" si="31"/>
        <v>0</v>
      </c>
      <c r="AQ159" s="548" t="str">
        <f t="shared" si="31"/>
        <v/>
      </c>
      <c r="AR159" s="548" t="str">
        <f t="shared" si="31"/>
        <v/>
      </c>
      <c r="AS159" s="548" t="str">
        <f t="shared" si="31"/>
        <v/>
      </c>
      <c r="AT159" s="548" t="str">
        <f t="shared" si="31"/>
        <v/>
      </c>
      <c r="AU159" s="548" t="str">
        <f t="shared" si="31"/>
        <v/>
      </c>
      <c r="AV159" s="548" t="str">
        <f t="shared" si="31"/>
        <v/>
      </c>
      <c r="AW159" s="548" t="str">
        <f t="shared" si="31"/>
        <v/>
      </c>
      <c r="AX159" s="548" t="str">
        <f t="shared" si="31"/>
        <v/>
      </c>
      <c r="AY159" s="548" t="str">
        <f t="shared" si="31"/>
        <v/>
      </c>
      <c r="AZ159" s="548" t="str">
        <f t="shared" si="31"/>
        <v/>
      </c>
      <c r="BA159" s="548" t="str">
        <f t="shared" si="31"/>
        <v/>
      </c>
      <c r="BB159" s="548" t="str">
        <f t="shared" si="31"/>
        <v/>
      </c>
      <c r="BC159" s="548" t="str">
        <f t="shared" si="31"/>
        <v/>
      </c>
      <c r="BD159" s="548" t="str">
        <f t="shared" si="31"/>
        <v/>
      </c>
      <c r="BE159" s="548" t="str">
        <f t="shared" si="31"/>
        <v/>
      </c>
      <c r="BF159" s="548" t="str">
        <f t="shared" si="31"/>
        <v/>
      </c>
      <c r="BG159" s="548" t="str">
        <f t="shared" si="31"/>
        <v/>
      </c>
      <c r="BH159" s="548" t="str">
        <f t="shared" si="31"/>
        <v/>
      </c>
      <c r="BI159" s="548" t="str">
        <f t="shared" si="31"/>
        <v/>
      </c>
      <c r="BJ159" s="548" t="str">
        <f t="shared" si="31"/>
        <v/>
      </c>
      <c r="BK159" s="548" t="str">
        <f t="shared" si="31"/>
        <v/>
      </c>
      <c r="BL159" s="548" t="str">
        <f t="shared" si="31"/>
        <v/>
      </c>
      <c r="BM159" s="56" t="str">
        <f t="shared" si="31"/>
        <v/>
      </c>
    </row>
    <row r="160" spans="2:65" s="1" customFormat="1" x14ac:dyDescent="0.25">
      <c r="B160" s="57" t="s">
        <v>118</v>
      </c>
      <c r="C160" s="5"/>
      <c r="D160" s="407"/>
      <c r="E160" s="455"/>
      <c r="F160" s="565">
        <f>F144+F159</f>
        <v>-2010000</v>
      </c>
      <c r="G160" s="565">
        <f>IF(G$116="","",G144+G159)</f>
        <v>0</v>
      </c>
      <c r="H160" s="565">
        <f t="shared" ref="H160:BM160" si="32">IF(H$116="","",H144+H159)</f>
        <v>0</v>
      </c>
      <c r="I160" s="565">
        <f t="shared" si="32"/>
        <v>0</v>
      </c>
      <c r="J160" s="565">
        <f t="shared" si="32"/>
        <v>-80193.333333333328</v>
      </c>
      <c r="K160" s="565">
        <f t="shared" si="32"/>
        <v>-111050.47619047618</v>
      </c>
      <c r="L160" s="565">
        <f t="shared" si="32"/>
        <v>-111050.47619047618</v>
      </c>
      <c r="M160" s="565">
        <f t="shared" si="32"/>
        <v>-36806.288690476184</v>
      </c>
      <c r="N160" s="565">
        <f t="shared" si="32"/>
        <v>-36806.288690476184</v>
      </c>
      <c r="O160" s="565">
        <f t="shared" si="32"/>
        <v>-36806.288690476184</v>
      </c>
      <c r="P160" s="565">
        <f t="shared" si="32"/>
        <v>-36806.288690476184</v>
      </c>
      <c r="Q160" s="565">
        <f t="shared" si="32"/>
        <v>-36806.288690476184</v>
      </c>
      <c r="R160" s="565">
        <f t="shared" si="32"/>
        <v>-36806.288690476184</v>
      </c>
      <c r="S160" s="565">
        <f t="shared" si="32"/>
        <v>-594556.28869047621</v>
      </c>
      <c r="T160" s="565">
        <f t="shared" si="32"/>
        <v>-36806.288690476184</v>
      </c>
      <c r="U160" s="565">
        <f t="shared" si="32"/>
        <v>-36806.288690476184</v>
      </c>
      <c r="V160" s="565">
        <f t="shared" si="32"/>
        <v>-158410.28869047621</v>
      </c>
      <c r="W160" s="565">
        <f t="shared" si="32"/>
        <v>-13028.288690476213</v>
      </c>
      <c r="X160" s="565">
        <f t="shared" si="32"/>
        <v>1865168.711309524</v>
      </c>
      <c r="Y160" s="565">
        <f t="shared" si="32"/>
        <v>1975</v>
      </c>
      <c r="Z160" s="565">
        <f t="shared" si="32"/>
        <v>-504025</v>
      </c>
      <c r="AA160" s="565">
        <f t="shared" si="32"/>
        <v>1975</v>
      </c>
      <c r="AB160" s="565">
        <f t="shared" si="32"/>
        <v>1975</v>
      </c>
      <c r="AC160" s="565">
        <f t="shared" si="32"/>
        <v>-808874.5</v>
      </c>
      <c r="AD160" s="565">
        <f t="shared" si="32"/>
        <v>9509</v>
      </c>
      <c r="AE160" s="565">
        <f t="shared" si="32"/>
        <v>1760196.7391304348</v>
      </c>
      <c r="AF160" s="565">
        <f t="shared" si="32"/>
        <v>-256691.24999999994</v>
      </c>
      <c r="AG160" s="565">
        <f t="shared" si="32"/>
        <v>-113479.99999999988</v>
      </c>
      <c r="AH160" s="565">
        <f t="shared" si="32"/>
        <v>1831511.9565217393</v>
      </c>
      <c r="AI160" s="565">
        <f t="shared" si="32"/>
        <v>5425</v>
      </c>
      <c r="AJ160" s="565">
        <f t="shared" si="32"/>
        <v>5425</v>
      </c>
      <c r="AK160" s="565">
        <f t="shared" si="32"/>
        <v>5425</v>
      </c>
      <c r="AL160" s="565">
        <f t="shared" si="32"/>
        <v>5425</v>
      </c>
      <c r="AM160" s="565">
        <f t="shared" si="32"/>
        <v>5425</v>
      </c>
      <c r="AN160" s="565">
        <f t="shared" si="32"/>
        <v>5425</v>
      </c>
      <c r="AO160" s="565">
        <f t="shared" si="32"/>
        <v>5425</v>
      </c>
      <c r="AP160" s="565">
        <f t="shared" si="32"/>
        <v>5425</v>
      </c>
      <c r="AQ160" s="565" t="str">
        <f t="shared" si="32"/>
        <v/>
      </c>
      <c r="AR160" s="565" t="str">
        <f t="shared" si="32"/>
        <v/>
      </c>
      <c r="AS160" s="565" t="str">
        <f t="shared" si="32"/>
        <v/>
      </c>
      <c r="AT160" s="565" t="str">
        <f t="shared" si="32"/>
        <v/>
      </c>
      <c r="AU160" s="565" t="str">
        <f t="shared" si="32"/>
        <v/>
      </c>
      <c r="AV160" s="565" t="str">
        <f t="shared" si="32"/>
        <v/>
      </c>
      <c r="AW160" s="565" t="str">
        <f t="shared" si="32"/>
        <v/>
      </c>
      <c r="AX160" s="565" t="str">
        <f t="shared" si="32"/>
        <v/>
      </c>
      <c r="AY160" s="565" t="str">
        <f t="shared" si="32"/>
        <v/>
      </c>
      <c r="AZ160" s="565" t="str">
        <f t="shared" si="32"/>
        <v/>
      </c>
      <c r="BA160" s="565" t="str">
        <f t="shared" si="32"/>
        <v/>
      </c>
      <c r="BB160" s="565" t="str">
        <f t="shared" si="32"/>
        <v/>
      </c>
      <c r="BC160" s="565" t="str">
        <f t="shared" si="32"/>
        <v/>
      </c>
      <c r="BD160" s="565" t="str">
        <f t="shared" si="32"/>
        <v/>
      </c>
      <c r="BE160" s="565" t="str">
        <f t="shared" si="32"/>
        <v/>
      </c>
      <c r="BF160" s="565" t="str">
        <f t="shared" si="32"/>
        <v/>
      </c>
      <c r="BG160" s="565" t="str">
        <f t="shared" si="32"/>
        <v/>
      </c>
      <c r="BH160" s="565" t="str">
        <f t="shared" si="32"/>
        <v/>
      </c>
      <c r="BI160" s="565" t="str">
        <f t="shared" si="32"/>
        <v/>
      </c>
      <c r="BJ160" s="565" t="str">
        <f t="shared" si="32"/>
        <v/>
      </c>
      <c r="BK160" s="565" t="str">
        <f t="shared" si="32"/>
        <v/>
      </c>
      <c r="BL160" s="565" t="str">
        <f t="shared" si="32"/>
        <v/>
      </c>
      <c r="BM160" s="566" t="str">
        <f t="shared" si="32"/>
        <v/>
      </c>
    </row>
    <row r="161" spans="2:65" s="1" customFormat="1" x14ac:dyDescent="0.25">
      <c r="B161" s="359" t="s">
        <v>119</v>
      </c>
      <c r="C161" s="567"/>
      <c r="D161" s="561"/>
      <c r="E161" s="12"/>
      <c r="F161" s="561">
        <f>F160</f>
        <v>-2010000</v>
      </c>
      <c r="G161" s="561">
        <f t="shared" ref="G161:AL161" si="33">IF(G$116="","",G160+F161)</f>
        <v>-2010000</v>
      </c>
      <c r="H161" s="561">
        <f t="shared" si="33"/>
        <v>-2010000</v>
      </c>
      <c r="I161" s="561">
        <f t="shared" si="33"/>
        <v>-2010000</v>
      </c>
      <c r="J161" s="561">
        <f t="shared" si="33"/>
        <v>-2090193.3333333333</v>
      </c>
      <c r="K161" s="561">
        <f t="shared" si="33"/>
        <v>-2201243.8095238092</v>
      </c>
      <c r="L161" s="561">
        <f t="shared" si="33"/>
        <v>-2312294.2857142854</v>
      </c>
      <c r="M161" s="561">
        <f t="shared" si="33"/>
        <v>-2349100.5744047617</v>
      </c>
      <c r="N161" s="561">
        <f t="shared" si="33"/>
        <v>-2385906.8630952379</v>
      </c>
      <c r="O161" s="561">
        <f t="shared" si="33"/>
        <v>-2422713.1517857141</v>
      </c>
      <c r="P161" s="561">
        <f t="shared" si="33"/>
        <v>-2459519.4404761903</v>
      </c>
      <c r="Q161" s="561">
        <f t="shared" si="33"/>
        <v>-2496325.7291666665</v>
      </c>
      <c r="R161" s="561">
        <f t="shared" si="33"/>
        <v>-2533132.0178571427</v>
      </c>
      <c r="S161" s="561">
        <f t="shared" si="33"/>
        <v>-3127688.3065476189</v>
      </c>
      <c r="T161" s="561">
        <f t="shared" si="33"/>
        <v>-3164494.5952380951</v>
      </c>
      <c r="U161" s="561">
        <f t="shared" si="33"/>
        <v>-3201300.8839285714</v>
      </c>
      <c r="V161" s="561">
        <f t="shared" si="33"/>
        <v>-3359711.1726190476</v>
      </c>
      <c r="W161" s="561">
        <f t="shared" si="33"/>
        <v>-3372739.4613095238</v>
      </c>
      <c r="X161" s="561">
        <f t="shared" si="33"/>
        <v>-1507570.7499999998</v>
      </c>
      <c r="Y161" s="561">
        <f t="shared" si="33"/>
        <v>-1505595.7499999998</v>
      </c>
      <c r="Z161" s="561">
        <f t="shared" si="33"/>
        <v>-2009620.7499999998</v>
      </c>
      <c r="AA161" s="561">
        <f t="shared" si="33"/>
        <v>-2007645.7499999998</v>
      </c>
      <c r="AB161" s="561">
        <f t="shared" si="33"/>
        <v>-2005670.7499999998</v>
      </c>
      <c r="AC161" s="561">
        <f t="shared" si="33"/>
        <v>-2814545.25</v>
      </c>
      <c r="AD161" s="561">
        <f t="shared" si="33"/>
        <v>-2805036.25</v>
      </c>
      <c r="AE161" s="561">
        <f t="shared" si="33"/>
        <v>-1044839.5108695652</v>
      </c>
      <c r="AF161" s="561">
        <f t="shared" si="33"/>
        <v>-1301530.7608695652</v>
      </c>
      <c r="AG161" s="561">
        <f t="shared" si="33"/>
        <v>-1415010.760869565</v>
      </c>
      <c r="AH161" s="561">
        <f t="shared" si="33"/>
        <v>416501.1956521743</v>
      </c>
      <c r="AI161" s="561">
        <f t="shared" si="33"/>
        <v>421926.1956521743</v>
      </c>
      <c r="AJ161" s="561">
        <f t="shared" si="33"/>
        <v>427351.1956521743</v>
      </c>
      <c r="AK161" s="561">
        <f t="shared" si="33"/>
        <v>432776.1956521743</v>
      </c>
      <c r="AL161" s="561">
        <f t="shared" si="33"/>
        <v>438201.1956521743</v>
      </c>
      <c r="AM161" s="561">
        <f t="shared" ref="AM161:BM161" si="34">IF(AM$116="","",AM160+AL161)</f>
        <v>443626.1956521743</v>
      </c>
      <c r="AN161" s="561">
        <f t="shared" si="34"/>
        <v>449051.1956521743</v>
      </c>
      <c r="AO161" s="561">
        <f t="shared" si="34"/>
        <v>454476.1956521743</v>
      </c>
      <c r="AP161" s="561">
        <f t="shared" si="34"/>
        <v>459901.1956521743</v>
      </c>
      <c r="AQ161" s="561" t="str">
        <f t="shared" si="34"/>
        <v/>
      </c>
      <c r="AR161" s="561" t="str">
        <f t="shared" si="34"/>
        <v/>
      </c>
      <c r="AS161" s="561" t="str">
        <f t="shared" si="34"/>
        <v/>
      </c>
      <c r="AT161" s="561" t="str">
        <f t="shared" si="34"/>
        <v/>
      </c>
      <c r="AU161" s="561" t="str">
        <f t="shared" si="34"/>
        <v/>
      </c>
      <c r="AV161" s="561" t="str">
        <f t="shared" si="34"/>
        <v/>
      </c>
      <c r="AW161" s="561" t="str">
        <f t="shared" si="34"/>
        <v/>
      </c>
      <c r="AX161" s="561" t="str">
        <f t="shared" si="34"/>
        <v/>
      </c>
      <c r="AY161" s="561" t="str">
        <f t="shared" si="34"/>
        <v/>
      </c>
      <c r="AZ161" s="561" t="str">
        <f t="shared" si="34"/>
        <v/>
      </c>
      <c r="BA161" s="561" t="str">
        <f t="shared" si="34"/>
        <v/>
      </c>
      <c r="BB161" s="561" t="str">
        <f t="shared" si="34"/>
        <v/>
      </c>
      <c r="BC161" s="561" t="str">
        <f t="shared" si="34"/>
        <v/>
      </c>
      <c r="BD161" s="561" t="str">
        <f t="shared" si="34"/>
        <v/>
      </c>
      <c r="BE161" s="561" t="str">
        <f t="shared" si="34"/>
        <v/>
      </c>
      <c r="BF161" s="561" t="str">
        <f t="shared" si="34"/>
        <v/>
      </c>
      <c r="BG161" s="561" t="str">
        <f t="shared" si="34"/>
        <v/>
      </c>
      <c r="BH161" s="561" t="str">
        <f t="shared" si="34"/>
        <v/>
      </c>
      <c r="BI161" s="561" t="str">
        <f t="shared" si="34"/>
        <v/>
      </c>
      <c r="BJ161" s="561" t="str">
        <f t="shared" si="34"/>
        <v/>
      </c>
      <c r="BK161" s="561" t="str">
        <f t="shared" si="34"/>
        <v/>
      </c>
      <c r="BL161" s="561" t="str">
        <f t="shared" si="34"/>
        <v/>
      </c>
      <c r="BM161" s="562" t="str">
        <f t="shared" si="34"/>
        <v/>
      </c>
    </row>
    <row r="162" spans="2:65" s="1" customFormat="1" x14ac:dyDescent="0.25">
      <c r="B162" s="568" t="s">
        <v>363</v>
      </c>
      <c r="C162" s="13"/>
      <c r="D162" s="548"/>
      <c r="F162" s="548"/>
      <c r="G162" s="548"/>
      <c r="H162" s="548"/>
      <c r="I162" s="548"/>
      <c r="J162" s="548"/>
      <c r="K162" s="548"/>
      <c r="L162" s="548"/>
      <c r="M162" s="548"/>
      <c r="N162" s="548"/>
      <c r="O162" s="548"/>
      <c r="P162" s="548"/>
      <c r="Q162" s="548"/>
      <c r="R162" s="548"/>
      <c r="S162" s="548"/>
      <c r="T162" s="548"/>
      <c r="U162" s="548"/>
      <c r="V162" s="548"/>
      <c r="W162" s="548"/>
      <c r="X162" s="548"/>
      <c r="Y162" s="548"/>
      <c r="Z162" s="548"/>
      <c r="AA162" s="548"/>
      <c r="AB162" s="548"/>
      <c r="AC162" s="548"/>
      <c r="AD162" s="548"/>
      <c r="AE162" s="548"/>
      <c r="AF162" s="548"/>
      <c r="AG162" s="548"/>
      <c r="AH162" s="548"/>
      <c r="AI162" s="548"/>
      <c r="AJ162" s="548"/>
      <c r="AK162" s="548"/>
      <c r="AL162" s="548"/>
      <c r="AM162" s="548"/>
      <c r="AN162" s="548"/>
      <c r="AO162" s="548"/>
      <c r="AP162" s="548"/>
      <c r="AQ162" s="548"/>
      <c r="AR162" s="548"/>
      <c r="AS162" s="548"/>
      <c r="AT162" s="548"/>
      <c r="AU162" s="548"/>
      <c r="AV162" s="548"/>
      <c r="AW162" s="548"/>
      <c r="AX162" s="548"/>
      <c r="AY162" s="548"/>
      <c r="AZ162" s="548"/>
      <c r="BA162" s="548"/>
      <c r="BB162" s="548"/>
      <c r="BC162" s="548"/>
      <c r="BD162" s="548"/>
      <c r="BE162" s="548"/>
      <c r="BF162" s="548"/>
      <c r="BG162" s="548"/>
      <c r="BH162" s="548"/>
      <c r="BI162" s="548"/>
      <c r="BJ162" s="548"/>
      <c r="BK162" s="548"/>
      <c r="BL162" s="548"/>
      <c r="BM162" s="548"/>
    </row>
    <row r="163" spans="2:65" s="1" customFormat="1" x14ac:dyDescent="0.25">
      <c r="B163" s="2" t="s">
        <v>368</v>
      </c>
      <c r="D163" s="20"/>
      <c r="E163" s="187"/>
      <c r="F163" s="548">
        <f>IF(F161&lt;=0,-F161,0)</f>
        <v>2010000</v>
      </c>
      <c r="G163" s="548">
        <f t="shared" ref="G163:AL163" si="35">IF(G116="","",IF(G161&lt;=0,-G161,0))</f>
        <v>2010000</v>
      </c>
      <c r="H163" s="548">
        <f t="shared" si="35"/>
        <v>2010000</v>
      </c>
      <c r="I163" s="548">
        <f t="shared" si="35"/>
        <v>2010000</v>
      </c>
      <c r="J163" s="548">
        <f t="shared" si="35"/>
        <v>2090193.3333333333</v>
      </c>
      <c r="K163" s="548">
        <f t="shared" si="35"/>
        <v>2201243.8095238092</v>
      </c>
      <c r="L163" s="548">
        <f t="shared" si="35"/>
        <v>2312294.2857142854</v>
      </c>
      <c r="M163" s="548">
        <f t="shared" si="35"/>
        <v>2349100.5744047617</v>
      </c>
      <c r="N163" s="548">
        <f t="shared" si="35"/>
        <v>2385906.8630952379</v>
      </c>
      <c r="O163" s="548">
        <f t="shared" si="35"/>
        <v>2422713.1517857141</v>
      </c>
      <c r="P163" s="548">
        <f t="shared" si="35"/>
        <v>2459519.4404761903</v>
      </c>
      <c r="Q163" s="548">
        <f t="shared" si="35"/>
        <v>2496325.7291666665</v>
      </c>
      <c r="R163" s="548">
        <f t="shared" si="35"/>
        <v>2533132.0178571427</v>
      </c>
      <c r="S163" s="548">
        <f t="shared" si="35"/>
        <v>3127688.3065476189</v>
      </c>
      <c r="T163" s="548">
        <f t="shared" si="35"/>
        <v>3164494.5952380951</v>
      </c>
      <c r="U163" s="548">
        <f t="shared" si="35"/>
        <v>3201300.8839285714</v>
      </c>
      <c r="V163" s="548">
        <f t="shared" si="35"/>
        <v>3359711.1726190476</v>
      </c>
      <c r="W163" s="548">
        <f t="shared" si="35"/>
        <v>3372739.4613095238</v>
      </c>
      <c r="X163" s="548">
        <f t="shared" si="35"/>
        <v>1507570.7499999998</v>
      </c>
      <c r="Y163" s="548">
        <f t="shared" si="35"/>
        <v>1505595.7499999998</v>
      </c>
      <c r="Z163" s="548">
        <f t="shared" si="35"/>
        <v>2009620.7499999998</v>
      </c>
      <c r="AA163" s="548">
        <f t="shared" si="35"/>
        <v>2007645.7499999998</v>
      </c>
      <c r="AB163" s="548">
        <f t="shared" si="35"/>
        <v>2005670.7499999998</v>
      </c>
      <c r="AC163" s="548">
        <f t="shared" si="35"/>
        <v>2814545.25</v>
      </c>
      <c r="AD163" s="548">
        <f t="shared" si="35"/>
        <v>2805036.25</v>
      </c>
      <c r="AE163" s="548">
        <f t="shared" si="35"/>
        <v>1044839.5108695652</v>
      </c>
      <c r="AF163" s="548">
        <f t="shared" si="35"/>
        <v>1301530.7608695652</v>
      </c>
      <c r="AG163" s="548">
        <f t="shared" si="35"/>
        <v>1415010.760869565</v>
      </c>
      <c r="AH163" s="548">
        <f t="shared" si="35"/>
        <v>0</v>
      </c>
      <c r="AI163" s="548">
        <f t="shared" si="35"/>
        <v>0</v>
      </c>
      <c r="AJ163" s="548">
        <f t="shared" si="35"/>
        <v>0</v>
      </c>
      <c r="AK163" s="548">
        <f t="shared" si="35"/>
        <v>0</v>
      </c>
      <c r="AL163" s="548">
        <f t="shared" si="35"/>
        <v>0</v>
      </c>
      <c r="AM163" s="548">
        <f t="shared" ref="AM163:BM163" si="36">IF(AM116="","",IF(AM161&lt;=0,-AM161,0))</f>
        <v>0</v>
      </c>
      <c r="AN163" s="548">
        <f t="shared" si="36"/>
        <v>0</v>
      </c>
      <c r="AO163" s="548">
        <f t="shared" si="36"/>
        <v>0</v>
      </c>
      <c r="AP163" s="548">
        <f t="shared" si="36"/>
        <v>0</v>
      </c>
      <c r="AQ163" s="548" t="str">
        <f t="shared" si="36"/>
        <v/>
      </c>
      <c r="AR163" s="548" t="str">
        <f t="shared" si="36"/>
        <v/>
      </c>
      <c r="AS163" s="548" t="str">
        <f t="shared" si="36"/>
        <v/>
      </c>
      <c r="AT163" s="548" t="str">
        <f t="shared" si="36"/>
        <v/>
      </c>
      <c r="AU163" s="548" t="str">
        <f t="shared" si="36"/>
        <v/>
      </c>
      <c r="AV163" s="548" t="str">
        <f t="shared" si="36"/>
        <v/>
      </c>
      <c r="AW163" s="548" t="str">
        <f t="shared" si="36"/>
        <v/>
      </c>
      <c r="AX163" s="548" t="str">
        <f t="shared" si="36"/>
        <v/>
      </c>
      <c r="AY163" s="548" t="str">
        <f t="shared" si="36"/>
        <v/>
      </c>
      <c r="AZ163" s="548" t="str">
        <f t="shared" si="36"/>
        <v/>
      </c>
      <c r="BA163" s="548" t="str">
        <f t="shared" si="36"/>
        <v/>
      </c>
      <c r="BB163" s="548" t="str">
        <f t="shared" si="36"/>
        <v/>
      </c>
      <c r="BC163" s="548" t="str">
        <f t="shared" si="36"/>
        <v/>
      </c>
      <c r="BD163" s="548" t="str">
        <f t="shared" si="36"/>
        <v/>
      </c>
      <c r="BE163" s="548" t="str">
        <f t="shared" si="36"/>
        <v/>
      </c>
      <c r="BF163" s="548" t="str">
        <f t="shared" si="36"/>
        <v/>
      </c>
      <c r="BG163" s="548" t="str">
        <f t="shared" si="36"/>
        <v/>
      </c>
      <c r="BH163" s="548" t="str">
        <f t="shared" si="36"/>
        <v/>
      </c>
      <c r="BI163" s="548" t="str">
        <f t="shared" si="36"/>
        <v/>
      </c>
      <c r="BJ163" s="548" t="str">
        <f t="shared" si="36"/>
        <v/>
      </c>
      <c r="BK163" s="548" t="str">
        <f t="shared" si="36"/>
        <v/>
      </c>
      <c r="BL163" s="548" t="str">
        <f t="shared" si="36"/>
        <v/>
      </c>
      <c r="BM163" s="548" t="str">
        <f t="shared" si="36"/>
        <v/>
      </c>
    </row>
    <row r="164" spans="2:65" s="1" customFormat="1" ht="15.75" thickBot="1" x14ac:dyDescent="0.3">
      <c r="B164" s="2" t="s">
        <v>375</v>
      </c>
      <c r="E164" s="187"/>
      <c r="F164" s="548">
        <f>(F163*$C$112)/12</f>
        <v>10050</v>
      </c>
      <c r="G164" s="548">
        <f>IF(G116="","",(G163*$C$112)/12+F164)</f>
        <v>20100</v>
      </c>
      <c r="H164" s="548">
        <f t="shared" ref="H164:AL164" si="37">IF(H116="","",(H163*$C$112)/12+G164)</f>
        <v>30150</v>
      </c>
      <c r="I164" s="548">
        <f t="shared" si="37"/>
        <v>40200</v>
      </c>
      <c r="J164" s="548">
        <f t="shared" si="37"/>
        <v>50650.966666666667</v>
      </c>
      <c r="K164" s="548">
        <f t="shared" si="37"/>
        <v>61657.185714285712</v>
      </c>
      <c r="L164" s="548">
        <f t="shared" si="37"/>
        <v>73218.657142857133</v>
      </c>
      <c r="M164" s="548">
        <f t="shared" si="37"/>
        <v>84964.160014880938</v>
      </c>
      <c r="N164" s="548">
        <f t="shared" si="37"/>
        <v>96893.694330357132</v>
      </c>
      <c r="O164" s="548">
        <f t="shared" si="37"/>
        <v>109007.2600892857</v>
      </c>
      <c r="P164" s="548">
        <f t="shared" si="37"/>
        <v>121304.85729166665</v>
      </c>
      <c r="Q164" s="548">
        <f t="shared" si="37"/>
        <v>133786.48593749997</v>
      </c>
      <c r="R164" s="548">
        <f t="shared" si="37"/>
        <v>146452.14602678569</v>
      </c>
      <c r="S164" s="548">
        <f t="shared" si="37"/>
        <v>162090.58755952379</v>
      </c>
      <c r="T164" s="548">
        <f t="shared" si="37"/>
        <v>177913.06053571426</v>
      </c>
      <c r="U164" s="548">
        <f t="shared" si="37"/>
        <v>193919.56495535711</v>
      </c>
      <c r="V164" s="548">
        <f t="shared" si="37"/>
        <v>210718.12081845236</v>
      </c>
      <c r="W164" s="548">
        <f t="shared" si="37"/>
        <v>227581.81812499999</v>
      </c>
      <c r="X164" s="548">
        <f t="shared" si="37"/>
        <v>235119.671875</v>
      </c>
      <c r="Y164" s="548">
        <f t="shared" si="37"/>
        <v>242647.65062500001</v>
      </c>
      <c r="Z164" s="548">
        <f t="shared" si="37"/>
        <v>252695.75437500002</v>
      </c>
      <c r="AA164" s="548">
        <f t="shared" si="37"/>
        <v>262733.98312500003</v>
      </c>
      <c r="AB164" s="548">
        <f t="shared" si="37"/>
        <v>272762.33687500004</v>
      </c>
      <c r="AC164" s="548">
        <f t="shared" si="37"/>
        <v>286835.06312500004</v>
      </c>
      <c r="AD164" s="548">
        <f t="shared" si="37"/>
        <v>300860.24437500007</v>
      </c>
      <c r="AE164" s="548">
        <f t="shared" si="37"/>
        <v>306084.44192934787</v>
      </c>
      <c r="AF164" s="548">
        <f t="shared" si="37"/>
        <v>312592.09573369572</v>
      </c>
      <c r="AG164" s="548">
        <f t="shared" si="37"/>
        <v>319667.14953804354</v>
      </c>
      <c r="AH164" s="548">
        <f t="shared" si="37"/>
        <v>319667.14953804354</v>
      </c>
      <c r="AI164" s="548">
        <f t="shared" si="37"/>
        <v>319667.14953804354</v>
      </c>
      <c r="AJ164" s="548">
        <f t="shared" si="37"/>
        <v>319667.14953804354</v>
      </c>
      <c r="AK164" s="548">
        <f t="shared" si="37"/>
        <v>319667.14953804354</v>
      </c>
      <c r="AL164" s="548">
        <f t="shared" si="37"/>
        <v>319667.14953804354</v>
      </c>
      <c r="AM164" s="548">
        <f t="shared" ref="AM164:BM164" si="38">IF(AM116="","",(AM163*$C$112)/12+AL164)</f>
        <v>319667.14953804354</v>
      </c>
      <c r="AN164" s="548">
        <f t="shared" si="38"/>
        <v>319667.14953804354</v>
      </c>
      <c r="AO164" s="548">
        <f t="shared" si="38"/>
        <v>319667.14953804354</v>
      </c>
      <c r="AP164" s="548">
        <f t="shared" si="38"/>
        <v>319667.14953804354</v>
      </c>
      <c r="AQ164" s="548" t="str">
        <f t="shared" si="38"/>
        <v/>
      </c>
      <c r="AR164" s="548" t="str">
        <f t="shared" si="38"/>
        <v/>
      </c>
      <c r="AS164" s="548" t="str">
        <f t="shared" si="38"/>
        <v/>
      </c>
      <c r="AT164" s="548" t="str">
        <f t="shared" si="38"/>
        <v/>
      </c>
      <c r="AU164" s="548" t="str">
        <f t="shared" si="38"/>
        <v/>
      </c>
      <c r="AV164" s="548" t="str">
        <f t="shared" si="38"/>
        <v/>
      </c>
      <c r="AW164" s="548" t="str">
        <f t="shared" si="38"/>
        <v/>
      </c>
      <c r="AX164" s="548" t="str">
        <f t="shared" si="38"/>
        <v/>
      </c>
      <c r="AY164" s="548" t="str">
        <f t="shared" si="38"/>
        <v/>
      </c>
      <c r="AZ164" s="548" t="str">
        <f t="shared" si="38"/>
        <v/>
      </c>
      <c r="BA164" s="548" t="str">
        <f t="shared" si="38"/>
        <v/>
      </c>
      <c r="BB164" s="548" t="str">
        <f t="shared" si="38"/>
        <v/>
      </c>
      <c r="BC164" s="548" t="str">
        <f t="shared" si="38"/>
        <v/>
      </c>
      <c r="BD164" s="548" t="str">
        <f t="shared" si="38"/>
        <v/>
      </c>
      <c r="BE164" s="548" t="str">
        <f t="shared" si="38"/>
        <v/>
      </c>
      <c r="BF164" s="548" t="str">
        <f t="shared" si="38"/>
        <v/>
      </c>
      <c r="BG164" s="548" t="str">
        <f t="shared" si="38"/>
        <v/>
      </c>
      <c r="BH164" s="548" t="str">
        <f t="shared" si="38"/>
        <v/>
      </c>
      <c r="BI164" s="548" t="str">
        <f t="shared" si="38"/>
        <v/>
      </c>
      <c r="BJ164" s="548" t="str">
        <f t="shared" si="38"/>
        <v/>
      </c>
      <c r="BK164" s="548" t="str">
        <f t="shared" si="38"/>
        <v/>
      </c>
      <c r="BL164" s="548" t="str">
        <f t="shared" si="38"/>
        <v/>
      </c>
      <c r="BM164" s="548" t="str">
        <f t="shared" si="38"/>
        <v/>
      </c>
    </row>
    <row r="165" spans="2:65" s="1" customFormat="1" ht="15.75" thickBot="1" x14ac:dyDescent="0.3">
      <c r="B165" s="569" t="s">
        <v>373</v>
      </c>
      <c r="C165" s="570"/>
      <c r="D165" s="571"/>
      <c r="E165" s="572"/>
      <c r="F165" s="573">
        <f>IF(F116="","",IF(F163=0,0,F163+F164))</f>
        <v>2020050</v>
      </c>
      <c r="G165" s="573">
        <f t="shared" ref="G165:AK165" si="39">IF(G116="","",IF(G163=0,0,G163+G164))</f>
        <v>2030100</v>
      </c>
      <c r="H165" s="573">
        <f t="shared" si="39"/>
        <v>2040150</v>
      </c>
      <c r="I165" s="573">
        <f t="shared" si="39"/>
        <v>2050200</v>
      </c>
      <c r="J165" s="573">
        <f t="shared" si="39"/>
        <v>2140844.2999999998</v>
      </c>
      <c r="K165" s="573">
        <f t="shared" si="39"/>
        <v>2262900.9952380951</v>
      </c>
      <c r="L165" s="573">
        <f t="shared" si="39"/>
        <v>2385512.9428571425</v>
      </c>
      <c r="M165" s="573">
        <f t="shared" si="39"/>
        <v>2434064.7344196425</v>
      </c>
      <c r="N165" s="573">
        <f t="shared" si="39"/>
        <v>2482800.5574255949</v>
      </c>
      <c r="O165" s="573">
        <f t="shared" si="39"/>
        <v>2531720.4118749998</v>
      </c>
      <c r="P165" s="573">
        <f t="shared" si="39"/>
        <v>2580824.2977678571</v>
      </c>
      <c r="Q165" s="573">
        <f t="shared" si="39"/>
        <v>2630112.2151041664</v>
      </c>
      <c r="R165" s="573">
        <f t="shared" si="39"/>
        <v>2679584.1638839282</v>
      </c>
      <c r="S165" s="573">
        <f t="shared" si="39"/>
        <v>3289778.8941071429</v>
      </c>
      <c r="T165" s="573">
        <f t="shared" si="39"/>
        <v>3342407.6557738092</v>
      </c>
      <c r="U165" s="573">
        <f t="shared" si="39"/>
        <v>3395220.4488839284</v>
      </c>
      <c r="V165" s="573">
        <f t="shared" si="39"/>
        <v>3570429.2934375</v>
      </c>
      <c r="W165" s="573">
        <f t="shared" si="39"/>
        <v>3600321.2794345235</v>
      </c>
      <c r="X165" s="573">
        <f t="shared" si="39"/>
        <v>1742690.4218749998</v>
      </c>
      <c r="Y165" s="573">
        <f t="shared" si="39"/>
        <v>1748243.4006249998</v>
      </c>
      <c r="Z165" s="573">
        <f t="shared" si="39"/>
        <v>2262316.5043749996</v>
      </c>
      <c r="AA165" s="573">
        <f t="shared" si="39"/>
        <v>2270379.7331249998</v>
      </c>
      <c r="AB165" s="573">
        <f t="shared" si="39"/>
        <v>2278433.086875</v>
      </c>
      <c r="AC165" s="573">
        <f t="shared" si="39"/>
        <v>3101380.3131249999</v>
      </c>
      <c r="AD165" s="573">
        <f t="shared" si="39"/>
        <v>3105896.4943750002</v>
      </c>
      <c r="AE165" s="573">
        <f t="shared" si="39"/>
        <v>1350923.952798913</v>
      </c>
      <c r="AF165" s="573">
        <f t="shared" si="39"/>
        <v>1614122.8566032609</v>
      </c>
      <c r="AG165" s="573">
        <f t="shared" si="39"/>
        <v>1734677.9104076084</v>
      </c>
      <c r="AH165" s="573">
        <f t="shared" si="39"/>
        <v>0</v>
      </c>
      <c r="AI165" s="573">
        <f t="shared" si="39"/>
        <v>0</v>
      </c>
      <c r="AJ165" s="573">
        <f t="shared" si="39"/>
        <v>0</v>
      </c>
      <c r="AK165" s="573">
        <f t="shared" si="39"/>
        <v>0</v>
      </c>
      <c r="AL165" s="573">
        <f t="shared" ref="AL165:BM165" si="40">IF(AL116="","",IF(AL163=0,0,AL163+AL164))</f>
        <v>0</v>
      </c>
      <c r="AM165" s="573">
        <f t="shared" si="40"/>
        <v>0</v>
      </c>
      <c r="AN165" s="573">
        <f t="shared" si="40"/>
        <v>0</v>
      </c>
      <c r="AO165" s="573">
        <f t="shared" si="40"/>
        <v>0</v>
      </c>
      <c r="AP165" s="573">
        <f t="shared" si="40"/>
        <v>0</v>
      </c>
      <c r="AQ165" s="573" t="str">
        <f t="shared" si="40"/>
        <v/>
      </c>
      <c r="AR165" s="573" t="str">
        <f t="shared" si="40"/>
        <v/>
      </c>
      <c r="AS165" s="573" t="str">
        <f t="shared" si="40"/>
        <v/>
      </c>
      <c r="AT165" s="573" t="str">
        <f t="shared" si="40"/>
        <v/>
      </c>
      <c r="AU165" s="573" t="str">
        <f t="shared" si="40"/>
        <v/>
      </c>
      <c r="AV165" s="573" t="str">
        <f t="shared" si="40"/>
        <v/>
      </c>
      <c r="AW165" s="573" t="str">
        <f t="shared" si="40"/>
        <v/>
      </c>
      <c r="AX165" s="573" t="str">
        <f t="shared" si="40"/>
        <v/>
      </c>
      <c r="AY165" s="573" t="str">
        <f t="shared" si="40"/>
        <v/>
      </c>
      <c r="AZ165" s="573" t="str">
        <f t="shared" si="40"/>
        <v/>
      </c>
      <c r="BA165" s="573" t="str">
        <f t="shared" si="40"/>
        <v/>
      </c>
      <c r="BB165" s="573" t="str">
        <f t="shared" si="40"/>
        <v/>
      </c>
      <c r="BC165" s="573" t="str">
        <f t="shared" si="40"/>
        <v/>
      </c>
      <c r="BD165" s="573" t="str">
        <f t="shared" si="40"/>
        <v/>
      </c>
      <c r="BE165" s="573" t="str">
        <f t="shared" si="40"/>
        <v/>
      </c>
      <c r="BF165" s="573" t="str">
        <f t="shared" si="40"/>
        <v/>
      </c>
      <c r="BG165" s="573" t="str">
        <f t="shared" si="40"/>
        <v/>
      </c>
      <c r="BH165" s="573" t="str">
        <f t="shared" si="40"/>
        <v/>
      </c>
      <c r="BI165" s="573" t="str">
        <f t="shared" si="40"/>
        <v/>
      </c>
      <c r="BJ165" s="573" t="str">
        <f t="shared" si="40"/>
        <v/>
      </c>
      <c r="BK165" s="573" t="str">
        <f t="shared" si="40"/>
        <v/>
      </c>
      <c r="BL165" s="573" t="str">
        <f t="shared" si="40"/>
        <v/>
      </c>
      <c r="BM165" s="573" t="str">
        <f t="shared" si="40"/>
        <v/>
      </c>
    </row>
    <row r="166" spans="2:65" s="1" customFormat="1" x14ac:dyDescent="0.25">
      <c r="E166" s="460"/>
      <c r="F166" s="548"/>
      <c r="G166" s="548"/>
      <c r="H166" s="548"/>
      <c r="I166" s="548"/>
      <c r="J166" s="548"/>
      <c r="K166" s="548"/>
      <c r="L166" s="548"/>
      <c r="M166" s="548"/>
      <c r="N166" s="548"/>
      <c r="O166" s="548"/>
      <c r="P166" s="548"/>
      <c r="Q166" s="548"/>
      <c r="R166" s="548"/>
      <c r="S166" s="548"/>
      <c r="T166" s="548"/>
      <c r="U166" s="548"/>
      <c r="V166" s="548"/>
      <c r="W166" s="548"/>
      <c r="X166" s="548"/>
      <c r="Y166" s="548"/>
      <c r="Z166" s="548"/>
      <c r="AA166" s="548"/>
      <c r="AB166" s="548"/>
      <c r="AC166" s="548"/>
      <c r="AD166" s="548"/>
      <c r="AE166" s="548"/>
      <c r="AF166" s="548"/>
      <c r="AG166" s="548"/>
      <c r="AH166" s="548"/>
      <c r="AI166" s="548"/>
      <c r="AJ166" s="548"/>
      <c r="AK166" s="548"/>
      <c r="AL166" s="548"/>
      <c r="AM166" s="20"/>
      <c r="AN166" s="20"/>
    </row>
    <row r="167" spans="2:65" s="1" customFormat="1" x14ac:dyDescent="0.25">
      <c r="E167" s="460"/>
    </row>
    <row r="168" spans="2:65" s="1" customFormat="1" x14ac:dyDescent="0.25">
      <c r="E168" s="460"/>
    </row>
    <row r="169" spans="2:65" s="1" customFormat="1" ht="12" customHeight="1" x14ac:dyDescent="0.25"/>
    <row r="170" spans="2:65" s="1" customFormat="1" ht="12" customHeight="1" x14ac:dyDescent="0.25">
      <c r="E170" s="460"/>
    </row>
    <row r="171" spans="2:65" s="1" customFormat="1" x14ac:dyDescent="0.25"/>
    <row r="172" spans="2:65" s="1" customFormat="1" x14ac:dyDescent="0.25"/>
    <row r="173" spans="2:65" s="1" customFormat="1" x14ac:dyDescent="0.25"/>
    <row r="174" spans="2:65" s="1" customFormat="1" x14ac:dyDescent="0.25"/>
    <row r="175" spans="2:65" s="1" customFormat="1" x14ac:dyDescent="0.25"/>
    <row r="176" spans="2:65" s="1" customFormat="1" x14ac:dyDescent="0.25"/>
    <row r="177" spans="14:14" s="1" customFormat="1" x14ac:dyDescent="0.25"/>
    <row r="178" spans="14:14" s="1" customFormat="1" hidden="1" x14ac:dyDescent="0.25"/>
    <row r="179" spans="14:14" s="1" customFormat="1" hidden="1" x14ac:dyDescent="0.25"/>
    <row r="180" spans="14:14" s="1" customFormat="1" hidden="1" x14ac:dyDescent="0.25"/>
    <row r="181" spans="14:14" s="1" customFormat="1" hidden="1" x14ac:dyDescent="0.25"/>
    <row r="182" spans="14:14" s="1" customFormat="1" hidden="1" x14ac:dyDescent="0.25"/>
    <row r="183" spans="14:14" s="1" customFormat="1" hidden="1" x14ac:dyDescent="0.25"/>
    <row r="184" spans="14:14" s="1" customFormat="1" hidden="1" x14ac:dyDescent="0.25"/>
    <row r="185" spans="14:14" s="1" customFormat="1" hidden="1" x14ac:dyDescent="0.25"/>
    <row r="186" spans="14:14" s="1" customFormat="1" hidden="1" x14ac:dyDescent="0.25"/>
    <row r="187" spans="14:14" s="1" customFormat="1" hidden="1" x14ac:dyDescent="0.25"/>
    <row r="188" spans="14:14" s="1" customFormat="1" hidden="1" x14ac:dyDescent="0.25">
      <c r="N188" s="479"/>
    </row>
    <row r="189" spans="14:14" s="1" customFormat="1" hidden="1" x14ac:dyDescent="0.25">
      <c r="N189" s="479"/>
    </row>
    <row r="190" spans="14:14" s="1" customFormat="1" hidden="1" x14ac:dyDescent="0.25">
      <c r="N190" s="479"/>
    </row>
    <row r="191" spans="14:14" s="1" customFormat="1" hidden="1" x14ac:dyDescent="0.25">
      <c r="N191" s="479"/>
    </row>
    <row r="192" spans="14:14" s="1" customFormat="1" hidden="1" x14ac:dyDescent="0.25"/>
    <row r="193" spans="2:2" s="1" customFormat="1" hidden="1" x14ac:dyDescent="0.25"/>
    <row r="194" spans="2:2" s="1" customFormat="1" hidden="1" x14ac:dyDescent="0.25"/>
    <row r="195" spans="2:2" s="1" customFormat="1" hidden="1" x14ac:dyDescent="0.25"/>
    <row r="196" spans="2:2" s="1" customFormat="1" x14ac:dyDescent="0.25"/>
    <row r="197" spans="2:2" s="1" customFormat="1" x14ac:dyDescent="0.25"/>
    <row r="198" spans="2:2" s="1" customFormat="1" x14ac:dyDescent="0.25"/>
    <row r="199" spans="2:2" s="1" customFormat="1" x14ac:dyDescent="0.25"/>
    <row r="200" spans="2:2" s="1" customFormat="1" x14ac:dyDescent="0.25">
      <c r="B200" s="574"/>
    </row>
    <row r="201" spans="2:2" s="1" customFormat="1" x14ac:dyDescent="0.25"/>
    <row r="202" spans="2:2" s="1" customFormat="1" x14ac:dyDescent="0.25"/>
    <row r="203" spans="2:2" s="1" customFormat="1" x14ac:dyDescent="0.25"/>
    <row r="204" spans="2:2" s="1" customFormat="1" x14ac:dyDescent="0.25"/>
    <row r="205" spans="2:2" s="1" customFormat="1" x14ac:dyDescent="0.25"/>
    <row r="206" spans="2:2" s="1" customFormat="1" x14ac:dyDescent="0.25"/>
    <row r="207" spans="2:2" s="1" customFormat="1" x14ac:dyDescent="0.25"/>
    <row r="208" spans="2:2" s="1" customFormat="1" x14ac:dyDescent="0.25"/>
    <row r="209" spans="2:9" s="1" customFormat="1" x14ac:dyDescent="0.25"/>
    <row r="210" spans="2:9" s="1" customFormat="1" x14ac:dyDescent="0.25"/>
    <row r="211" spans="2:9" s="1" customFormat="1" x14ac:dyDescent="0.25">
      <c r="I211" s="482"/>
    </row>
    <row r="212" spans="2:9" s="1" customFormat="1" x14ac:dyDescent="0.25"/>
    <row r="213" spans="2:9" s="1" customFormat="1" x14ac:dyDescent="0.25"/>
    <row r="214" spans="2:9" s="1" customFormat="1" x14ac:dyDescent="0.25"/>
    <row r="215" spans="2:9" s="1" customFormat="1" x14ac:dyDescent="0.25"/>
    <row r="216" spans="2:9" s="1" customFormat="1" x14ac:dyDescent="0.25"/>
    <row r="217" spans="2:9" s="1" customFormat="1" x14ac:dyDescent="0.25">
      <c r="B217" s="574"/>
      <c r="D217" s="479"/>
      <c r="I217" s="482"/>
    </row>
    <row r="218" spans="2:9" s="1" customFormat="1" x14ac:dyDescent="0.25">
      <c r="B218" s="607"/>
      <c r="C218" s="607"/>
      <c r="D218" s="607"/>
      <c r="E218" s="607"/>
      <c r="I218" s="482"/>
    </row>
    <row r="219" spans="2:9" s="1" customFormat="1" x14ac:dyDescent="0.25">
      <c r="B219" s="13"/>
      <c r="C219" s="13"/>
      <c r="D219" s="427"/>
      <c r="E219" s="427"/>
      <c r="I219" s="482"/>
    </row>
    <row r="220" spans="2:9" s="1" customFormat="1" x14ac:dyDescent="0.25">
      <c r="D220" s="187"/>
      <c r="I220" s="482"/>
    </row>
    <row r="221" spans="2:9" s="1" customFormat="1" x14ac:dyDescent="0.25">
      <c r="D221" s="460"/>
      <c r="I221" s="482"/>
    </row>
    <row r="222" spans="2:9" s="1" customFormat="1" x14ac:dyDescent="0.25">
      <c r="D222" s="187"/>
      <c r="I222" s="482"/>
    </row>
    <row r="223" spans="2:9" s="1" customFormat="1" x14ac:dyDescent="0.25">
      <c r="D223" s="187"/>
      <c r="I223" s="482"/>
    </row>
    <row r="224" spans="2:9" s="1" customFormat="1" x14ac:dyDescent="0.25">
      <c r="D224" s="187"/>
      <c r="I224" s="482"/>
    </row>
    <row r="225" spans="4:9" s="1" customFormat="1" x14ac:dyDescent="0.25"/>
    <row r="226" spans="4:9" s="1" customFormat="1" x14ac:dyDescent="0.25"/>
    <row r="227" spans="4:9" s="1" customFormat="1" x14ac:dyDescent="0.25">
      <c r="D227" s="460"/>
      <c r="I227" s="482"/>
    </row>
    <row r="228" spans="4:9" s="1" customFormat="1" x14ac:dyDescent="0.25">
      <c r="D228" s="460"/>
      <c r="I228" s="482"/>
    </row>
    <row r="229" spans="4:9" s="1" customFormat="1" x14ac:dyDescent="0.25">
      <c r="D229" s="187"/>
      <c r="H229" s="482"/>
      <c r="I229" s="482"/>
    </row>
    <row r="230" spans="4:9" s="1" customFormat="1" x14ac:dyDescent="0.25">
      <c r="D230" s="460"/>
      <c r="H230" s="187"/>
      <c r="I230" s="187"/>
    </row>
    <row r="231" spans="4:9" s="1" customFormat="1" x14ac:dyDescent="0.25">
      <c r="D231" s="460"/>
      <c r="H231" s="575"/>
      <c r="I231" s="575"/>
    </row>
    <row r="232" spans="4:9" s="1" customFormat="1" x14ac:dyDescent="0.25">
      <c r="D232" s="460"/>
      <c r="H232" s="575"/>
      <c r="I232" s="482"/>
    </row>
    <row r="233" spans="4:9" s="1" customFormat="1" x14ac:dyDescent="0.25">
      <c r="D233" s="460"/>
      <c r="H233" s="575"/>
    </row>
    <row r="234" spans="4:9" s="1" customFormat="1" x14ac:dyDescent="0.25">
      <c r="D234" s="460"/>
      <c r="H234" s="576"/>
      <c r="I234" s="577"/>
    </row>
    <row r="235" spans="4:9" s="1" customFormat="1" x14ac:dyDescent="0.25">
      <c r="D235" s="460"/>
      <c r="H235" s="576"/>
      <c r="I235" s="577"/>
    </row>
    <row r="236" spans="4:9" s="1" customFormat="1" x14ac:dyDescent="0.25">
      <c r="H236" s="187"/>
      <c r="I236" s="187"/>
    </row>
    <row r="237" spans="4:9" s="1" customFormat="1" x14ac:dyDescent="0.25">
      <c r="H237" s="288"/>
    </row>
    <row r="238" spans="4:9" s="1" customFormat="1" x14ac:dyDescent="0.25"/>
    <row r="239" spans="4:9" s="1" customFormat="1" x14ac:dyDescent="0.25"/>
    <row r="240" spans="4:9" s="1" customFormat="1" x14ac:dyDescent="0.25"/>
    <row r="241" spans="65:66" s="1" customFormat="1" x14ac:dyDescent="0.25"/>
    <row r="242" spans="65:66" s="1" customFormat="1" x14ac:dyDescent="0.25"/>
    <row r="243" spans="65:66" s="1" customFormat="1" x14ac:dyDescent="0.25">
      <c r="BM243"/>
      <c r="BN243"/>
    </row>
    <row r="244" spans="65:66" s="1" customFormat="1" x14ac:dyDescent="0.25">
      <c r="BM244"/>
      <c r="BN244"/>
    </row>
    <row r="245" spans="65:66" s="1" customFormat="1" x14ac:dyDescent="0.25">
      <c r="BM245"/>
      <c r="BN245"/>
    </row>
    <row r="246" spans="65:66" s="1" customFormat="1" x14ac:dyDescent="0.25">
      <c r="BM246"/>
      <c r="BN246"/>
    </row>
    <row r="247" spans="65:66" s="1" customFormat="1" x14ac:dyDescent="0.25">
      <c r="BM247"/>
      <c r="BN247"/>
    </row>
    <row r="248" spans="65:66" s="1" customFormat="1" x14ac:dyDescent="0.25">
      <c r="BM248"/>
      <c r="BN248"/>
    </row>
    <row r="249" spans="65:66" s="1" customFormat="1" x14ac:dyDescent="0.25">
      <c r="BM249"/>
      <c r="BN249"/>
    </row>
    <row r="250" spans="65:66" s="1" customFormat="1" x14ac:dyDescent="0.25">
      <c r="BM250"/>
      <c r="BN250"/>
    </row>
    <row r="251" spans="65:66" s="1" customFormat="1" x14ac:dyDescent="0.25">
      <c r="BM251"/>
      <c r="BN251"/>
    </row>
    <row r="252" spans="65:66" s="1" customFormat="1" x14ac:dyDescent="0.25">
      <c r="BM252"/>
      <c r="BN252"/>
    </row>
    <row r="253" spans="65:66" s="1" customFormat="1" x14ac:dyDescent="0.25">
      <c r="BM253"/>
      <c r="BN253"/>
    </row>
    <row r="254" spans="65:66" s="1" customFormat="1" x14ac:dyDescent="0.25">
      <c r="BM254"/>
      <c r="BN254"/>
    </row>
    <row r="255" spans="65:66" s="1" customFormat="1" x14ac:dyDescent="0.25">
      <c r="BM255"/>
      <c r="BN255"/>
    </row>
    <row r="256" spans="65:66" s="1" customFormat="1" x14ac:dyDescent="0.25">
      <c r="BM256"/>
      <c r="BN256"/>
    </row>
    <row r="257" spans="65:66" s="1" customFormat="1" x14ac:dyDescent="0.25">
      <c r="BM257"/>
      <c r="BN257"/>
    </row>
    <row r="258" spans="65:66" s="1" customFormat="1" x14ac:dyDescent="0.25">
      <c r="BM258"/>
      <c r="BN258"/>
    </row>
    <row r="259" spans="65:66" s="1" customFormat="1" x14ac:dyDescent="0.25">
      <c r="BM259"/>
      <c r="BN259"/>
    </row>
    <row r="260" spans="65:66" s="1" customFormat="1" x14ac:dyDescent="0.25">
      <c r="BM260"/>
      <c r="BN260"/>
    </row>
    <row r="261" spans="65:66" s="1" customFormat="1" x14ac:dyDescent="0.25">
      <c r="BM261"/>
      <c r="BN261"/>
    </row>
    <row r="262" spans="65:66" s="1" customFormat="1" x14ac:dyDescent="0.25">
      <c r="BM262"/>
      <c r="BN262"/>
    </row>
    <row r="263" spans="65:66" s="1" customFormat="1" x14ac:dyDescent="0.25">
      <c r="BM263"/>
      <c r="BN263"/>
    </row>
    <row r="264" spans="65:66" s="1" customFormat="1" x14ac:dyDescent="0.25">
      <c r="BM264"/>
      <c r="BN264"/>
    </row>
    <row r="265" spans="65:66" s="1" customFormat="1" x14ac:dyDescent="0.25">
      <c r="BM265"/>
      <c r="BN265"/>
    </row>
    <row r="266" spans="65:66" s="1" customFormat="1" x14ac:dyDescent="0.25">
      <c r="BM266"/>
      <c r="BN266"/>
    </row>
    <row r="267" spans="65:66" s="1" customFormat="1" x14ac:dyDescent="0.25">
      <c r="BM267"/>
      <c r="BN267"/>
    </row>
    <row r="268" spans="65:66" s="1" customFormat="1" x14ac:dyDescent="0.25">
      <c r="BM268"/>
      <c r="BN268"/>
    </row>
    <row r="269" spans="65:66" s="1" customFormat="1" x14ac:dyDescent="0.25">
      <c r="BM269"/>
      <c r="BN269"/>
    </row>
    <row r="270" spans="65:66" s="1" customFormat="1" x14ac:dyDescent="0.25">
      <c r="BM270"/>
      <c r="BN270"/>
    </row>
    <row r="271" spans="65:66" s="1" customFormat="1" x14ac:dyDescent="0.25">
      <c r="BM271"/>
      <c r="BN271"/>
    </row>
    <row r="272" spans="65:66" s="1" customFormat="1" x14ac:dyDescent="0.25">
      <c r="BM272"/>
      <c r="BN272"/>
    </row>
    <row r="273" spans="65:66" s="1" customFormat="1" x14ac:dyDescent="0.25">
      <c r="BM273"/>
      <c r="BN273"/>
    </row>
    <row r="274" spans="65:66" s="1" customFormat="1" x14ac:dyDescent="0.25">
      <c r="BM274"/>
      <c r="BN274"/>
    </row>
    <row r="275" spans="65:66" s="1" customFormat="1" x14ac:dyDescent="0.25">
      <c r="BM275"/>
      <c r="BN275"/>
    </row>
    <row r="276" spans="65:66" s="1" customFormat="1" x14ac:dyDescent="0.25">
      <c r="BM276"/>
      <c r="BN276"/>
    </row>
    <row r="277" spans="65:66" s="1" customFormat="1" x14ac:dyDescent="0.25">
      <c r="BM277"/>
      <c r="BN277"/>
    </row>
    <row r="278" spans="65:66" s="1" customFormat="1" x14ac:dyDescent="0.25">
      <c r="BM278"/>
      <c r="BN278"/>
    </row>
    <row r="279" spans="65:66" s="1" customFormat="1" x14ac:dyDescent="0.25">
      <c r="BM279"/>
      <c r="BN279"/>
    </row>
    <row r="280" spans="65:66" s="1" customFormat="1" x14ac:dyDescent="0.25">
      <c r="BM280"/>
      <c r="BN280"/>
    </row>
    <row r="281" spans="65:66" s="1" customFormat="1" x14ac:dyDescent="0.25">
      <c r="BM281"/>
      <c r="BN281"/>
    </row>
    <row r="282" spans="65:66" s="1" customFormat="1" x14ac:dyDescent="0.25">
      <c r="BM282"/>
      <c r="BN282"/>
    </row>
    <row r="283" spans="65:66" s="1" customFormat="1" x14ac:dyDescent="0.25">
      <c r="BM283"/>
      <c r="BN283"/>
    </row>
    <row r="284" spans="65:66" s="1" customFormat="1" x14ac:dyDescent="0.25">
      <c r="BM284"/>
      <c r="BN284"/>
    </row>
    <row r="285" spans="65:66" s="1" customFormat="1" x14ac:dyDescent="0.25">
      <c r="BM285"/>
      <c r="BN285"/>
    </row>
    <row r="286" spans="65:66" s="1" customFormat="1" x14ac:dyDescent="0.25">
      <c r="BM286"/>
      <c r="BN286"/>
    </row>
    <row r="287" spans="65:66" s="1" customFormat="1" x14ac:dyDescent="0.25">
      <c r="BM287"/>
      <c r="BN287"/>
    </row>
    <row r="288" spans="65:66" s="1" customFormat="1" x14ac:dyDescent="0.25">
      <c r="BM288"/>
      <c r="BN288"/>
    </row>
    <row r="289" spans="65:66" s="1" customFormat="1" x14ac:dyDescent="0.25">
      <c r="BM289"/>
      <c r="BN289"/>
    </row>
    <row r="290" spans="65:66" s="1" customFormat="1" x14ac:dyDescent="0.25">
      <c r="BM290"/>
      <c r="BN290"/>
    </row>
    <row r="291" spans="65:66" s="1" customFormat="1" x14ac:dyDescent="0.25">
      <c r="BM291"/>
      <c r="BN291"/>
    </row>
    <row r="292" spans="65:66" s="1" customFormat="1" x14ac:dyDescent="0.25">
      <c r="BM292"/>
      <c r="BN292"/>
    </row>
    <row r="293" spans="65:66" s="1" customFormat="1" x14ac:dyDescent="0.25">
      <c r="BM293"/>
      <c r="BN293"/>
    </row>
    <row r="294" spans="65:66" s="1" customFormat="1" x14ac:dyDescent="0.25">
      <c r="BM294"/>
      <c r="BN294"/>
    </row>
    <row r="295" spans="65:66" s="1" customFormat="1" x14ac:dyDescent="0.25">
      <c r="BM295"/>
      <c r="BN295"/>
    </row>
    <row r="296" spans="65:66" s="1" customFormat="1" x14ac:dyDescent="0.25">
      <c r="BM296"/>
      <c r="BN296"/>
    </row>
    <row r="297" spans="65:66" s="1" customFormat="1" x14ac:dyDescent="0.25">
      <c r="BM297"/>
      <c r="BN297"/>
    </row>
    <row r="298" spans="65:66" s="1" customFormat="1" x14ac:dyDescent="0.25">
      <c r="BM298"/>
      <c r="BN298"/>
    </row>
    <row r="299" spans="65:66" s="1" customFormat="1" x14ac:dyDescent="0.25">
      <c r="BM299"/>
      <c r="BN299"/>
    </row>
    <row r="300" spans="65:66" s="1" customFormat="1" x14ac:dyDescent="0.25">
      <c r="BM300"/>
      <c r="BN300"/>
    </row>
    <row r="301" spans="65:66" s="1" customFormat="1" x14ac:dyDescent="0.25">
      <c r="BM301"/>
      <c r="BN301"/>
    </row>
    <row r="302" spans="65:66" s="1" customFormat="1" x14ac:dyDescent="0.25">
      <c r="BM302"/>
      <c r="BN302"/>
    </row>
    <row r="303" spans="65:66" s="1" customFormat="1" x14ac:dyDescent="0.25">
      <c r="BM303"/>
      <c r="BN303"/>
    </row>
    <row r="304" spans="65:66" s="1" customFormat="1" x14ac:dyDescent="0.25">
      <c r="BM304"/>
      <c r="BN304"/>
    </row>
    <row r="305" spans="65:66" s="1" customFormat="1" x14ac:dyDescent="0.25">
      <c r="BM305"/>
      <c r="BN305"/>
    </row>
    <row r="306" spans="65:66" s="1" customFormat="1" x14ac:dyDescent="0.25">
      <c r="BM306"/>
      <c r="BN306"/>
    </row>
    <row r="307" spans="65:66" s="1" customFormat="1" x14ac:dyDescent="0.25">
      <c r="BM307"/>
      <c r="BN307"/>
    </row>
    <row r="308" spans="65:66" s="1" customFormat="1" x14ac:dyDescent="0.25">
      <c r="BM308"/>
      <c r="BN308"/>
    </row>
    <row r="309" spans="65:66" s="1" customFormat="1" x14ac:dyDescent="0.25">
      <c r="BM309"/>
      <c r="BN309"/>
    </row>
    <row r="310" spans="65:66" s="1" customFormat="1" x14ac:dyDescent="0.25">
      <c r="BM310"/>
      <c r="BN310"/>
    </row>
    <row r="311" spans="65:66" s="1" customFormat="1" x14ac:dyDescent="0.25">
      <c r="BM311"/>
      <c r="BN311"/>
    </row>
    <row r="312" spans="65:66" s="1" customFormat="1" x14ac:dyDescent="0.25">
      <c r="BM312"/>
      <c r="BN312"/>
    </row>
    <row r="313" spans="65:66" s="1" customFormat="1" x14ac:dyDescent="0.25">
      <c r="BM313"/>
      <c r="BN313"/>
    </row>
    <row r="314" spans="65:66" s="1" customFormat="1" x14ac:dyDescent="0.25">
      <c r="BM314"/>
      <c r="BN314"/>
    </row>
    <row r="315" spans="65:66" s="1" customFormat="1" x14ac:dyDescent="0.25">
      <c r="BM315"/>
      <c r="BN315"/>
    </row>
    <row r="316" spans="65:66" s="1" customFormat="1" x14ac:dyDescent="0.25">
      <c r="BM316"/>
      <c r="BN316"/>
    </row>
    <row r="317" spans="65:66" s="1" customFormat="1" x14ac:dyDescent="0.25">
      <c r="BM317"/>
      <c r="BN317"/>
    </row>
    <row r="318" spans="65:66" s="1" customFormat="1" x14ac:dyDescent="0.25">
      <c r="BM318"/>
      <c r="BN318"/>
    </row>
    <row r="319" spans="65:66" s="1" customFormat="1" x14ac:dyDescent="0.25">
      <c r="BM319"/>
      <c r="BN319"/>
    </row>
    <row r="320" spans="65:66" s="1" customFormat="1" x14ac:dyDescent="0.25">
      <c r="BM320"/>
      <c r="BN320"/>
    </row>
    <row r="321" spans="65:66" s="1" customFormat="1" x14ac:dyDescent="0.25">
      <c r="BM321"/>
      <c r="BN321"/>
    </row>
    <row r="322" spans="65:66" s="1" customFormat="1" x14ac:dyDescent="0.25">
      <c r="BM322"/>
      <c r="BN322"/>
    </row>
    <row r="323" spans="65:66" s="1" customFormat="1" x14ac:dyDescent="0.25">
      <c r="BM323"/>
      <c r="BN323"/>
    </row>
    <row r="324" spans="65:66" s="1" customFormat="1" x14ac:dyDescent="0.25">
      <c r="BM324"/>
      <c r="BN324"/>
    </row>
    <row r="325" spans="65:66" s="1" customFormat="1" x14ac:dyDescent="0.25">
      <c r="BM325"/>
      <c r="BN325"/>
    </row>
    <row r="326" spans="65:66" s="1" customFormat="1" x14ac:dyDescent="0.25">
      <c r="BM326"/>
      <c r="BN326"/>
    </row>
    <row r="327" spans="65:66" s="1" customFormat="1" x14ac:dyDescent="0.25">
      <c r="BM327"/>
      <c r="BN327"/>
    </row>
    <row r="328" spans="65:66" s="1" customFormat="1" x14ac:dyDescent="0.25">
      <c r="BM328"/>
      <c r="BN328"/>
    </row>
    <row r="329" spans="65:66" s="1" customFormat="1" x14ac:dyDescent="0.25">
      <c r="BM329"/>
      <c r="BN329"/>
    </row>
    <row r="330" spans="65:66" s="1" customFormat="1" x14ac:dyDescent="0.25">
      <c r="BM330"/>
      <c r="BN330"/>
    </row>
    <row r="331" spans="65:66" s="1" customFormat="1" x14ac:dyDescent="0.25">
      <c r="BM331"/>
      <c r="BN331"/>
    </row>
    <row r="332" spans="65:66" s="1" customFormat="1" x14ac:dyDescent="0.25">
      <c r="BM332"/>
      <c r="BN332"/>
    </row>
    <row r="333" spans="65:66" s="1" customFormat="1" x14ac:dyDescent="0.25">
      <c r="BM333"/>
      <c r="BN333"/>
    </row>
    <row r="334" spans="65:66" s="1" customFormat="1" x14ac:dyDescent="0.25">
      <c r="BM334"/>
      <c r="BN334"/>
    </row>
    <row r="335" spans="65:66" s="1" customFormat="1" x14ac:dyDescent="0.25">
      <c r="BM335"/>
      <c r="BN335"/>
    </row>
    <row r="336" spans="65:66" s="1" customFormat="1" x14ac:dyDescent="0.25">
      <c r="BM336"/>
      <c r="BN336"/>
    </row>
    <row r="337" spans="65:66" s="1" customFormat="1" x14ac:dyDescent="0.25">
      <c r="BM337"/>
      <c r="BN337"/>
    </row>
    <row r="338" spans="65:66" s="1" customFormat="1" x14ac:dyDescent="0.25">
      <c r="BM338"/>
      <c r="BN338"/>
    </row>
    <row r="339" spans="65:66" s="1" customFormat="1" x14ac:dyDescent="0.25">
      <c r="BM339"/>
      <c r="BN339"/>
    </row>
    <row r="340" spans="65:66" s="1" customFormat="1" x14ac:dyDescent="0.25">
      <c r="BM340"/>
      <c r="BN340"/>
    </row>
    <row r="341" spans="65:66" s="1" customFormat="1" x14ac:dyDescent="0.25">
      <c r="BM341"/>
      <c r="BN341"/>
    </row>
    <row r="342" spans="65:66" s="1" customFormat="1" x14ac:dyDescent="0.25">
      <c r="BM342"/>
      <c r="BN342"/>
    </row>
    <row r="343" spans="65:66" s="1" customFormat="1" x14ac:dyDescent="0.25">
      <c r="BM343"/>
      <c r="BN343"/>
    </row>
    <row r="344" spans="65:66" s="1" customFormat="1" x14ac:dyDescent="0.25">
      <c r="BM344"/>
      <c r="BN344"/>
    </row>
    <row r="345" spans="65:66" s="1" customFormat="1" x14ac:dyDescent="0.25">
      <c r="BM345"/>
      <c r="BN345"/>
    </row>
    <row r="346" spans="65:66" s="1" customFormat="1" x14ac:dyDescent="0.25">
      <c r="BM346"/>
      <c r="BN346"/>
    </row>
    <row r="347" spans="65:66" s="1" customFormat="1" x14ac:dyDescent="0.25">
      <c r="BM347"/>
      <c r="BN347"/>
    </row>
    <row r="348" spans="65:66" s="1" customFormat="1" x14ac:dyDescent="0.25">
      <c r="BM348"/>
      <c r="BN348"/>
    </row>
    <row r="349" spans="65:66" s="1" customFormat="1" x14ac:dyDescent="0.25">
      <c r="BM349"/>
      <c r="BN349"/>
    </row>
    <row r="350" spans="65:66" s="1" customFormat="1" x14ac:dyDescent="0.25">
      <c r="BM350"/>
      <c r="BN350"/>
    </row>
    <row r="351" spans="65:66" s="1" customFormat="1" x14ac:dyDescent="0.25">
      <c r="BM351"/>
      <c r="BN351"/>
    </row>
    <row r="352" spans="65:66" s="1" customFormat="1" x14ac:dyDescent="0.25">
      <c r="BM352"/>
      <c r="BN352"/>
    </row>
    <row r="353" spans="65:66" s="1" customFormat="1" x14ac:dyDescent="0.25">
      <c r="BM353"/>
      <c r="BN353"/>
    </row>
    <row r="354" spans="65:66" s="1" customFormat="1" x14ac:dyDescent="0.25">
      <c r="BM354"/>
      <c r="BN354"/>
    </row>
    <row r="355" spans="65:66" s="1" customFormat="1" x14ac:dyDescent="0.25">
      <c r="BM355"/>
      <c r="BN355"/>
    </row>
    <row r="356" spans="65:66" s="1" customFormat="1" x14ac:dyDescent="0.25">
      <c r="BM356"/>
      <c r="BN356"/>
    </row>
    <row r="357" spans="65:66" s="1" customFormat="1" x14ac:dyDescent="0.25">
      <c r="BM357"/>
      <c r="BN357"/>
    </row>
    <row r="358" spans="65:66" s="1" customFormat="1" x14ac:dyDescent="0.25">
      <c r="BM358"/>
      <c r="BN358"/>
    </row>
    <row r="359" spans="65:66" s="1" customFormat="1" x14ac:dyDescent="0.25">
      <c r="BM359"/>
      <c r="BN359"/>
    </row>
    <row r="360" spans="65:66" s="1" customFormat="1" x14ac:dyDescent="0.25">
      <c r="BM360"/>
      <c r="BN360"/>
    </row>
    <row r="361" spans="65:66" s="1" customFormat="1" x14ac:dyDescent="0.25">
      <c r="BM361"/>
      <c r="BN361"/>
    </row>
    <row r="362" spans="65:66" s="1" customFormat="1" x14ac:dyDescent="0.25">
      <c r="BM362"/>
      <c r="BN362"/>
    </row>
    <row r="363" spans="65:66" s="1" customFormat="1" x14ac:dyDescent="0.25">
      <c r="BM363"/>
      <c r="BN363"/>
    </row>
    <row r="364" spans="65:66" s="1" customFormat="1" x14ac:dyDescent="0.25">
      <c r="BM364"/>
      <c r="BN364"/>
    </row>
    <row r="365" spans="65:66" s="1" customFormat="1" x14ac:dyDescent="0.25">
      <c r="BM365"/>
      <c r="BN365"/>
    </row>
    <row r="366" spans="65:66" s="1" customFormat="1" x14ac:dyDescent="0.25">
      <c r="BM366"/>
      <c r="BN366"/>
    </row>
    <row r="367" spans="65:66" s="1" customFormat="1" x14ac:dyDescent="0.25">
      <c r="BM367"/>
      <c r="BN367"/>
    </row>
    <row r="368" spans="65:66" s="1" customFormat="1" x14ac:dyDescent="0.25">
      <c r="BM368"/>
      <c r="BN368"/>
    </row>
    <row r="369" spans="65:66" s="1" customFormat="1" x14ac:dyDescent="0.25">
      <c r="BM369"/>
      <c r="BN369"/>
    </row>
    <row r="370" spans="65:66" s="1" customFormat="1" x14ac:dyDescent="0.25">
      <c r="BM370"/>
      <c r="BN370"/>
    </row>
    <row r="371" spans="65:66" s="1" customFormat="1" x14ac:dyDescent="0.25">
      <c r="BM371"/>
      <c r="BN371"/>
    </row>
    <row r="372" spans="65:66" s="1" customFormat="1" x14ac:dyDescent="0.25">
      <c r="BM372"/>
      <c r="BN372"/>
    </row>
    <row r="373" spans="65:66" s="1" customFormat="1" x14ac:dyDescent="0.25">
      <c r="BM373"/>
      <c r="BN373"/>
    </row>
    <row r="374" spans="65:66" s="1" customFormat="1" x14ac:dyDescent="0.25">
      <c r="BM374"/>
      <c r="BN374"/>
    </row>
    <row r="375" spans="65:66" s="1" customFormat="1" x14ac:dyDescent="0.25">
      <c r="BM375"/>
      <c r="BN375"/>
    </row>
    <row r="376" spans="65:66" s="1" customFormat="1" x14ac:dyDescent="0.25">
      <c r="BM376"/>
      <c r="BN376"/>
    </row>
    <row r="377" spans="65:66" s="1" customFormat="1" x14ac:dyDescent="0.25">
      <c r="BM377"/>
      <c r="BN377"/>
    </row>
    <row r="378" spans="65:66" s="1" customFormat="1" x14ac:dyDescent="0.25">
      <c r="BM378"/>
      <c r="BN378"/>
    </row>
    <row r="379" spans="65:66" s="1" customFormat="1" x14ac:dyDescent="0.25">
      <c r="BM379"/>
      <c r="BN379"/>
    </row>
    <row r="380" spans="65:66" s="1" customFormat="1" x14ac:dyDescent="0.25">
      <c r="BM380"/>
      <c r="BN380"/>
    </row>
    <row r="381" spans="65:66" s="1" customFormat="1" x14ac:dyDescent="0.25">
      <c r="BM381"/>
      <c r="BN381"/>
    </row>
    <row r="382" spans="65:66" s="1" customFormat="1" x14ac:dyDescent="0.25">
      <c r="BM382"/>
      <c r="BN382"/>
    </row>
    <row r="383" spans="65:66" s="1" customFormat="1" x14ac:dyDescent="0.25">
      <c r="BM383"/>
      <c r="BN383"/>
    </row>
    <row r="384" spans="65:66" s="1" customFormat="1" x14ac:dyDescent="0.25">
      <c r="BM384"/>
      <c r="BN384"/>
    </row>
    <row r="385" spans="65:66" s="1" customFormat="1" x14ac:dyDescent="0.25">
      <c r="BM385"/>
      <c r="BN385"/>
    </row>
    <row r="386" spans="65:66" s="1" customFormat="1" x14ac:dyDescent="0.25">
      <c r="BM386"/>
      <c r="BN386"/>
    </row>
    <row r="387" spans="65:66" s="1" customFormat="1" x14ac:dyDescent="0.25">
      <c r="BM387"/>
      <c r="BN387"/>
    </row>
    <row r="388" spans="65:66" s="1" customFormat="1" x14ac:dyDescent="0.25">
      <c r="BM388"/>
      <c r="BN388"/>
    </row>
    <row r="389" spans="65:66" s="1" customFormat="1" x14ac:dyDescent="0.25">
      <c r="BM389"/>
      <c r="BN389"/>
    </row>
  </sheetData>
  <sheetProtection algorithmName="SHA-512" hashValue="/EV9ftw5alxxhmMbzPgNIVB5j9ktZnKkI2scKprOpaywr7UzmiGv1pPhs8koq7KtSigaGrYfBE3KypJM5wQ1IA==" saltValue="JnkYbVHM5vFqhmLu5MOcTw==" spinCount="100000" sheet="1" objects="1" scenarios="1"/>
  <mergeCells count="17">
    <mergeCell ref="B20:J20"/>
    <mergeCell ref="B12:L12"/>
    <mergeCell ref="B2:L3"/>
    <mergeCell ref="G14:I14"/>
    <mergeCell ref="B14:D14"/>
    <mergeCell ref="B62:C62"/>
    <mergeCell ref="D62:E62"/>
    <mergeCell ref="B89:F90"/>
    <mergeCell ref="B44:L44"/>
    <mergeCell ref="F62:H62"/>
    <mergeCell ref="G89:K90"/>
    <mergeCell ref="B218:E218"/>
    <mergeCell ref="B99:B100"/>
    <mergeCell ref="C99:F100"/>
    <mergeCell ref="B126:C126"/>
    <mergeCell ref="B114:L114"/>
    <mergeCell ref="G99:J99"/>
  </mergeCells>
  <dataValidations count="1">
    <dataValidation type="list" allowBlank="1" showInputMessage="1" showErrorMessage="1" sqref="E166:E167 C86 C92 C89:C90 C102:E102" xr:uid="{47B08C1C-4DD1-4578-A7A1-80F58BE82E08}">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2D23BEEB-5EF5-4204-BF50-FF754E0F4E0A}">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E140:E144</xm:sqref>
        </x14:conditionalFormatting>
        <x14:conditionalFormatting xmlns:xm="http://schemas.microsoft.com/office/excel/2006/main">
          <x14:cfRule type="iconSet" priority="4" id="{144CD77B-0B76-48F0-A2F5-17F5789261E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E152:E158</xm:sqref>
        </x14:conditionalFormatting>
        <x14:conditionalFormatting xmlns:xm="http://schemas.microsoft.com/office/excel/2006/main">
          <x14:cfRule type="iconSet" priority="39" id="{B1498138-5A8D-4AE8-A4E5-5A44F8210EB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E119:E131</xm:sqref>
        </x14:conditionalFormatting>
        <x14:conditionalFormatting xmlns:xm="http://schemas.microsoft.com/office/excel/2006/main">
          <x14:cfRule type="iconSet" priority="42" id="{8539193B-9E06-43EF-954F-90EFB7FE715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E159</xm:sqref>
        </x14:conditionalFormatting>
        <x14:conditionalFormatting xmlns:xm="http://schemas.microsoft.com/office/excel/2006/main">
          <x14:cfRule type="iconSet" priority="43" id="{55E244E3-77B0-41B6-B033-1FD0E12FB66B}">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E133:E139</xm:sqref>
        </x14:conditionalFormatting>
        <x14:conditionalFormatting xmlns:xm="http://schemas.microsoft.com/office/excel/2006/main">
          <x14:cfRule type="iconSet" priority="49" id="{014A5998-FEE1-4A06-973F-6BF3BB97E362}">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E160</xm:sqref>
        </x14:conditionalFormatting>
        <x14:conditionalFormatting xmlns:xm="http://schemas.microsoft.com/office/excel/2006/main">
          <x14:cfRule type="iconSet" priority="50" id="{21A8407B-6F35-4FA4-9A58-D76C9DA17AD0}">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E147:E150</xm:sqref>
        </x14:conditionalFormatting>
        <x14:conditionalFormatting xmlns:xm="http://schemas.microsoft.com/office/excel/2006/main">
          <x14:cfRule type="iconSet" priority="51" id="{41E957D1-3491-4F14-8BAF-A7BD9EFC59F7}">
            <x14:iconSet showValue="0" custom="1">
              <x14:cfvo type="percent">
                <xm:f>0</xm:f>
              </x14:cfvo>
              <x14:cfvo type="num">
                <xm:f>0</xm:f>
              </x14:cfvo>
              <x14:cfvo type="num">
                <xm:f>1</xm:f>
              </x14:cfvo>
              <x14:cfIcon iconSet="3TrafficLights1" iconId="0"/>
              <x14:cfIcon iconSet="3TrafficLights1" iconId="0"/>
              <x14:cfIcon iconSet="3TrafficLights1" iconId="2"/>
            </x14:iconSet>
          </x14:cfRule>
          <xm:sqref>E163:E165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7A11110-BB08-4E87-B743-BFE93DA7A0FD}">
          <x14:formula1>
            <xm:f>Codes!$N$4:$N$6</xm:f>
          </x14:formula1>
          <xm:sqref>C99:F100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584E-EB79-43A5-807E-9C00F0F1761F}">
  <sheetPr codeName="Sheet6">
    <tabColor theme="1"/>
  </sheetPr>
  <dimension ref="A1:AD123"/>
  <sheetViews>
    <sheetView zoomScale="70" zoomScaleNormal="70" workbookViewId="0">
      <selection activeCell="K20" sqref="K20"/>
    </sheetView>
  </sheetViews>
  <sheetFormatPr defaultRowHeight="15" x14ac:dyDescent="0.25"/>
  <cols>
    <col min="2" max="2" width="33.42578125" customWidth="1"/>
    <col min="3" max="3" width="24.42578125" customWidth="1"/>
    <col min="4" max="4" width="22.85546875" customWidth="1"/>
    <col min="5" max="5" width="16.140625" customWidth="1"/>
    <col min="6" max="6" width="13.140625" bestFit="1" customWidth="1"/>
    <col min="7" max="7" width="14" bestFit="1" customWidth="1"/>
    <col min="8" max="8" width="11.7109375" bestFit="1" customWidth="1"/>
    <col min="10" max="10" width="11.42578125" customWidth="1"/>
    <col min="11" max="11" width="20.140625" bestFit="1" customWidth="1"/>
    <col min="12" max="12" width="28.85546875" bestFit="1" customWidth="1"/>
    <col min="13" max="13" width="34" bestFit="1" customWidth="1"/>
    <col min="14" max="14" width="62.140625" bestFit="1" customWidth="1"/>
    <col min="15" max="15" width="12.85546875" bestFit="1" customWidth="1"/>
    <col min="16" max="16" width="7.42578125" customWidth="1"/>
    <col min="17" max="17" width="9.5703125" bestFit="1" customWidth="1"/>
    <col min="18" max="18" width="13.85546875" bestFit="1" customWidth="1"/>
    <col min="19" max="19" width="9" customWidth="1"/>
    <col min="20" max="20" width="14" customWidth="1"/>
    <col min="21" max="21" width="12.28515625" customWidth="1"/>
    <col min="22" max="22" width="8.28515625" bestFit="1" customWidth="1"/>
    <col min="23" max="23" width="11.85546875" customWidth="1"/>
    <col min="24" max="24" width="13.85546875" customWidth="1"/>
    <col min="25" max="25" width="14.140625" customWidth="1"/>
    <col min="26" max="27" width="13" bestFit="1" customWidth="1"/>
    <col min="30" max="30" width="13.5703125" customWidth="1"/>
  </cols>
  <sheetData>
    <row r="1" spans="1:30" ht="18.75" x14ac:dyDescent="0.3">
      <c r="A1" s="580"/>
      <c r="B1" s="581" t="s">
        <v>138</v>
      </c>
      <c r="C1" s="581" t="s">
        <v>139</v>
      </c>
      <c r="D1" s="582" t="s">
        <v>140</v>
      </c>
      <c r="E1" s="581" t="s">
        <v>141</v>
      </c>
      <c r="F1" s="580"/>
      <c r="G1" s="580" t="s">
        <v>142</v>
      </c>
      <c r="H1" s="581" t="s">
        <v>92</v>
      </c>
      <c r="I1" s="580"/>
      <c r="J1" s="583">
        <v>0</v>
      </c>
      <c r="K1" s="580" t="s">
        <v>5</v>
      </c>
      <c r="L1" s="580" t="s">
        <v>227</v>
      </c>
      <c r="M1" s="580" t="s">
        <v>10</v>
      </c>
      <c r="N1" s="584"/>
      <c r="O1" s="585" t="s">
        <v>124</v>
      </c>
      <c r="P1" s="585" t="s">
        <v>456</v>
      </c>
      <c r="Q1" s="585" t="s">
        <v>125</v>
      </c>
      <c r="R1" s="585" t="s">
        <v>126</v>
      </c>
      <c r="S1" s="580"/>
      <c r="T1" s="580" t="s">
        <v>340</v>
      </c>
      <c r="U1" s="580"/>
      <c r="V1" s="580"/>
      <c r="W1" s="580"/>
      <c r="X1" s="220"/>
      <c r="Y1" s="220"/>
      <c r="Z1" s="220"/>
      <c r="AA1" s="220"/>
      <c r="AB1" s="220"/>
      <c r="AC1" s="220"/>
      <c r="AD1" s="220"/>
    </row>
    <row r="2" spans="1:30" ht="18.75" x14ac:dyDescent="0.3">
      <c r="A2" s="580"/>
      <c r="B2" s="580" t="str">
        <f>B11</f>
        <v xml:space="preserve">Urban Auckland </v>
      </c>
      <c r="C2" s="580" t="str">
        <f>C12</f>
        <v>Couple Only</v>
      </c>
      <c r="D2" s="586">
        <v>0</v>
      </c>
      <c r="E2" s="580" t="s">
        <v>143</v>
      </c>
      <c r="F2" s="580" t="s">
        <v>144</v>
      </c>
      <c r="G2" s="580" t="s">
        <v>145</v>
      </c>
      <c r="H2" s="580" t="s">
        <v>91</v>
      </c>
      <c r="I2" s="580"/>
      <c r="J2" s="583">
        <v>0.03</v>
      </c>
      <c r="K2" s="580" t="s">
        <v>6</v>
      </c>
      <c r="L2" s="580" t="s">
        <v>315</v>
      </c>
      <c r="M2" s="580" t="s">
        <v>15</v>
      </c>
      <c r="N2" s="584" t="s">
        <v>146</v>
      </c>
      <c r="O2" s="587"/>
      <c r="P2" s="580"/>
      <c r="Q2" s="587"/>
      <c r="R2" s="587">
        <v>1</v>
      </c>
      <c r="S2" s="580"/>
      <c r="T2" s="580" t="s">
        <v>341</v>
      </c>
      <c r="U2" s="580"/>
      <c r="V2" s="580" t="s">
        <v>340</v>
      </c>
      <c r="W2" s="580"/>
      <c r="X2" s="220"/>
      <c r="Y2" s="220"/>
      <c r="Z2" s="220"/>
      <c r="AA2" s="220"/>
      <c r="AB2" s="220"/>
      <c r="AC2" s="220"/>
      <c r="AD2" s="220"/>
    </row>
    <row r="3" spans="1:30" ht="18.75" x14ac:dyDescent="0.3">
      <c r="A3" s="580"/>
      <c r="B3" s="580" t="str">
        <f>B30</f>
        <v xml:space="preserve">Urban Waikato/Bay of Plenty </v>
      </c>
      <c r="C3" s="580" t="str">
        <f>D12</f>
        <v>Couple with 1 dependent child</v>
      </c>
      <c r="D3" s="588">
        <v>0.03</v>
      </c>
      <c r="E3" s="580" t="s">
        <v>147</v>
      </c>
      <c r="F3" s="580" t="s">
        <v>148</v>
      </c>
      <c r="G3" s="580" t="s">
        <v>149</v>
      </c>
      <c r="H3" s="580" t="s">
        <v>150</v>
      </c>
      <c r="I3" s="580"/>
      <c r="J3" s="583">
        <v>0.04</v>
      </c>
      <c r="K3" s="580"/>
      <c r="L3" s="580"/>
      <c r="M3" s="580" t="s">
        <v>20</v>
      </c>
      <c r="N3" s="584" t="s">
        <v>151</v>
      </c>
      <c r="O3" s="587">
        <v>0.1</v>
      </c>
      <c r="P3" s="580"/>
      <c r="Q3" s="587"/>
      <c r="R3" s="587">
        <v>0.9</v>
      </c>
      <c r="S3" s="580"/>
      <c r="T3" s="580"/>
      <c r="U3" s="580" t="s">
        <v>144</v>
      </c>
      <c r="V3" s="580" t="s">
        <v>341</v>
      </c>
      <c r="W3" s="580"/>
      <c r="X3" s="220"/>
      <c r="Y3" s="220"/>
      <c r="Z3" s="220"/>
      <c r="AA3" s="220"/>
      <c r="AB3" s="220"/>
      <c r="AC3" s="220"/>
      <c r="AD3" s="220"/>
    </row>
    <row r="4" spans="1:30" ht="18.75" x14ac:dyDescent="0.3">
      <c r="A4" s="580"/>
      <c r="B4" s="580" t="str">
        <f>B49</f>
        <v xml:space="preserve">Urban Wellington </v>
      </c>
      <c r="C4" s="580" t="str">
        <f>E12</f>
        <v>Couple with 2 dependent children</v>
      </c>
      <c r="D4" s="588">
        <v>0.04</v>
      </c>
      <c r="E4" s="580" t="s">
        <v>152</v>
      </c>
      <c r="F4" s="580"/>
      <c r="G4" s="580"/>
      <c r="H4" s="580"/>
      <c r="I4" s="580"/>
      <c r="J4" s="583">
        <v>0.06</v>
      </c>
      <c r="K4" s="580"/>
      <c r="L4" s="580"/>
      <c r="M4" s="580" t="s">
        <v>26</v>
      </c>
      <c r="N4" s="584" t="s">
        <v>130</v>
      </c>
      <c r="O4" s="587">
        <v>0.3</v>
      </c>
      <c r="P4" s="580"/>
      <c r="Q4" s="587">
        <v>0.3</v>
      </c>
      <c r="R4" s="587">
        <v>0.4</v>
      </c>
      <c r="S4" s="580"/>
      <c r="T4" s="580"/>
      <c r="U4" s="580" t="s">
        <v>398</v>
      </c>
      <c r="V4" s="580"/>
      <c r="W4" s="580"/>
      <c r="X4" s="220"/>
      <c r="Y4" s="220"/>
      <c r="Z4" s="220"/>
      <c r="AA4" s="220"/>
      <c r="AB4" s="220"/>
      <c r="AC4" s="220"/>
      <c r="AD4" s="220"/>
    </row>
    <row r="5" spans="1:30" ht="18.75" x14ac:dyDescent="0.3">
      <c r="A5" s="580"/>
      <c r="B5" s="580" t="str">
        <f>B68</f>
        <v xml:space="preserve">Rest of Urban North Island </v>
      </c>
      <c r="C5" s="580" t="str">
        <f>F12</f>
        <v>Couple with 3 dependent children</v>
      </c>
      <c r="D5" s="588">
        <v>0.06</v>
      </c>
      <c r="E5" s="580"/>
      <c r="F5" s="580"/>
      <c r="G5" s="580"/>
      <c r="H5" s="580"/>
      <c r="I5" s="580"/>
      <c r="J5" s="583">
        <v>0.08</v>
      </c>
      <c r="K5" s="580"/>
      <c r="L5" s="580"/>
      <c r="M5" s="580" t="s">
        <v>40</v>
      </c>
      <c r="N5" s="584" t="s">
        <v>153</v>
      </c>
      <c r="O5" s="587"/>
      <c r="P5" s="580"/>
      <c r="Q5" s="587">
        <v>0.5</v>
      </c>
      <c r="R5" s="587">
        <v>0.5</v>
      </c>
      <c r="S5" s="580"/>
      <c r="T5" s="580"/>
      <c r="U5" s="580"/>
      <c r="V5" s="580"/>
      <c r="W5" s="580"/>
      <c r="X5" s="220"/>
      <c r="Y5" s="220"/>
      <c r="Z5" s="220"/>
      <c r="AA5" s="220"/>
      <c r="AB5" s="220"/>
      <c r="AC5" s="220"/>
      <c r="AD5" s="220"/>
    </row>
    <row r="6" spans="1:30" ht="18.75" x14ac:dyDescent="0.3">
      <c r="A6" s="580"/>
      <c r="B6" s="580" t="str">
        <f>B87</f>
        <v xml:space="preserve">Urban South Island </v>
      </c>
      <c r="C6" s="580" t="str">
        <f>G12</f>
        <v>1 parent with dependent child(ren)</v>
      </c>
      <c r="D6" s="588">
        <v>0.08</v>
      </c>
      <c r="E6" s="580"/>
      <c r="F6" s="580"/>
      <c r="G6" s="580"/>
      <c r="H6" s="580"/>
      <c r="I6" s="580"/>
      <c r="J6" s="583">
        <v>0.1</v>
      </c>
      <c r="K6" s="580"/>
      <c r="L6" s="580"/>
      <c r="M6" s="580" t="s">
        <v>41</v>
      </c>
      <c r="N6" s="584" t="s">
        <v>457</v>
      </c>
      <c r="O6" s="587"/>
      <c r="P6" s="587">
        <v>0.3</v>
      </c>
      <c r="Q6" s="587">
        <v>0.3</v>
      </c>
      <c r="R6" s="587">
        <v>0.4</v>
      </c>
      <c r="S6" s="580"/>
      <c r="T6" s="580"/>
      <c r="U6" s="580"/>
      <c r="V6" s="580"/>
      <c r="W6" s="580"/>
      <c r="X6" s="220"/>
      <c r="Y6" s="220"/>
      <c r="Z6" s="220"/>
      <c r="AA6" s="220"/>
      <c r="AB6" s="220"/>
      <c r="AC6" s="220"/>
      <c r="AD6" s="220"/>
    </row>
    <row r="7" spans="1:30" ht="15.75" x14ac:dyDescent="0.25">
      <c r="A7" s="580"/>
      <c r="B7" s="580" t="str">
        <f>B106</f>
        <v xml:space="preserve">Rural </v>
      </c>
      <c r="C7" s="580" t="str">
        <f>H12</f>
        <v>1 person</v>
      </c>
      <c r="D7" s="588">
        <v>0.1</v>
      </c>
      <c r="E7" s="580"/>
      <c r="F7" s="580"/>
      <c r="G7" s="580"/>
      <c r="H7" s="580"/>
      <c r="I7" s="580"/>
      <c r="J7" s="580"/>
      <c r="K7" s="580"/>
      <c r="L7" s="580"/>
      <c r="M7" s="580"/>
      <c r="N7" s="580"/>
      <c r="O7" s="580"/>
      <c r="P7" s="580"/>
      <c r="Q7" s="580"/>
      <c r="R7" s="580"/>
      <c r="S7" s="580"/>
      <c r="T7" s="580"/>
      <c r="U7" s="580"/>
      <c r="V7" s="580"/>
      <c r="W7" s="580"/>
      <c r="X7" s="220"/>
      <c r="Y7" s="220"/>
      <c r="Z7" s="220"/>
      <c r="AA7" s="220"/>
      <c r="AB7" s="220"/>
      <c r="AC7" s="220"/>
      <c r="AD7" s="220"/>
    </row>
    <row r="8" spans="1:30" x14ac:dyDescent="0.25">
      <c r="A8" s="580"/>
      <c r="B8" s="580"/>
      <c r="C8" s="580"/>
      <c r="D8" s="580"/>
      <c r="E8" s="580"/>
      <c r="F8" s="580"/>
      <c r="G8" s="580"/>
      <c r="H8" s="580"/>
      <c r="I8" s="580"/>
      <c r="J8" s="580"/>
      <c r="K8" s="580"/>
      <c r="L8" s="580"/>
      <c r="M8" s="580"/>
      <c r="N8" s="580"/>
      <c r="O8" s="580"/>
      <c r="P8" s="580"/>
      <c r="Q8" s="580"/>
      <c r="R8" s="580"/>
      <c r="S8" s="580"/>
      <c r="T8" s="580"/>
      <c r="U8" s="580"/>
      <c r="V8" s="580"/>
      <c r="W8" s="580"/>
      <c r="X8" s="220"/>
      <c r="Y8" s="220"/>
      <c r="Z8" s="220"/>
      <c r="AA8" s="220"/>
      <c r="AB8" s="220"/>
      <c r="AC8" s="220"/>
      <c r="AD8" s="220"/>
    </row>
    <row r="9" spans="1:30" x14ac:dyDescent="0.25">
      <c r="A9" s="220"/>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row>
    <row r="10" spans="1:30" ht="15.75" thickBot="1" x14ac:dyDescent="0.3">
      <c r="A10" s="220"/>
      <c r="B10" s="220"/>
      <c r="C10" s="220"/>
      <c r="D10" s="220"/>
      <c r="E10" s="220"/>
      <c r="F10" s="220"/>
      <c r="G10" s="220"/>
      <c r="H10" s="220"/>
      <c r="I10" s="220"/>
      <c r="J10" s="220"/>
      <c r="K10" s="220"/>
      <c r="L10" s="220"/>
      <c r="M10" s="220"/>
      <c r="N10" s="220"/>
      <c r="O10" s="220"/>
      <c r="P10" s="220"/>
      <c r="Q10" s="579"/>
      <c r="R10" s="220"/>
      <c r="S10" s="579"/>
      <c r="T10" s="220"/>
      <c r="U10" s="220"/>
      <c r="V10" s="220"/>
      <c r="W10" s="220"/>
      <c r="X10" s="220"/>
      <c r="Y10" s="220"/>
      <c r="Z10" s="220"/>
      <c r="AA10" s="220"/>
      <c r="AB10" s="220"/>
      <c r="AC10" s="220"/>
      <c r="AD10" s="220"/>
    </row>
    <row r="11" spans="1:30" ht="52.5" customHeight="1" x14ac:dyDescent="0.25">
      <c r="B11" s="70" t="s">
        <v>154</v>
      </c>
      <c r="C11" s="668" t="s">
        <v>155</v>
      </c>
      <c r="D11" s="668"/>
      <c r="E11" s="668"/>
      <c r="F11" s="668"/>
      <c r="G11" s="668"/>
      <c r="H11" s="669"/>
      <c r="K11" s="68"/>
      <c r="L11" s="158" t="s">
        <v>156</v>
      </c>
      <c r="M11" s="159" t="s">
        <v>157</v>
      </c>
      <c r="N11" s="159" t="s">
        <v>158</v>
      </c>
      <c r="O11" s="160" t="str">
        <f>B13</f>
        <v>Food and Groceries</v>
      </c>
      <c r="P11" s="160" t="str">
        <f>B14</f>
        <v>Rent</v>
      </c>
      <c r="Q11" s="160" t="str">
        <f>B15</f>
        <v>Mortgage</v>
      </c>
      <c r="R11" s="160" t="str">
        <f>B16</f>
        <v xml:space="preserve">Passenger Transport </v>
      </c>
      <c r="S11" s="160" t="str">
        <f>B17</f>
        <v xml:space="preserve">Gas/Electricity </v>
      </c>
      <c r="T11" s="160" t="str">
        <f>B18</f>
        <v xml:space="preserve">Telephone/mobile/internet services </v>
      </c>
      <c r="U11" s="160" t="str">
        <f>B19</f>
        <v>Clothing and footwear</v>
      </c>
      <c r="V11" s="160" t="str">
        <f>B20</f>
        <v>Rates</v>
      </c>
      <c r="W11" s="160" t="str">
        <f>B21</f>
        <v xml:space="preserve">House/content insurance </v>
      </c>
      <c r="X11" s="160" t="str">
        <f>B22</f>
        <v xml:space="preserve">Property maintenance </v>
      </c>
      <c r="Y11" s="160" t="str">
        <f>B23</f>
        <v xml:space="preserve">Private vehicle costs </v>
      </c>
      <c r="Z11" s="160" t="str">
        <f>B24</f>
        <v xml:space="preserve">Vehicle Insurance </v>
      </c>
      <c r="AA11" s="160" t="str">
        <f>B25</f>
        <v xml:space="preserve">Medical Insurance </v>
      </c>
      <c r="AB11" s="160" t="str">
        <f>B26</f>
        <v>Health/medical expenses</v>
      </c>
      <c r="AC11" s="160" t="str">
        <f>B27</f>
        <v xml:space="preserve">Life Insurance </v>
      </c>
      <c r="AD11" s="161" t="str">
        <f>B28</f>
        <v xml:space="preserve">Insurance other and combinations </v>
      </c>
    </row>
    <row r="12" spans="1:30" ht="45.75" thickBot="1" x14ac:dyDescent="0.3">
      <c r="B12" s="71"/>
      <c r="C12" s="72" t="s">
        <v>159</v>
      </c>
      <c r="D12" s="72" t="s">
        <v>160</v>
      </c>
      <c r="E12" s="72" t="s">
        <v>161</v>
      </c>
      <c r="F12" s="72" t="s">
        <v>162</v>
      </c>
      <c r="G12" s="72" t="s">
        <v>163</v>
      </c>
      <c r="H12" s="73" t="s">
        <v>164</v>
      </c>
      <c r="K12" s="74"/>
      <c r="L12" s="162" t="s">
        <v>154</v>
      </c>
      <c r="M12" s="75" t="s">
        <v>159</v>
      </c>
      <c r="N12" s="76" t="str">
        <f>L12&amp;""&amp;M12</f>
        <v>Urban Auckland Couple Only</v>
      </c>
      <c r="O12" s="77">
        <f>$C$13</f>
        <v>263.5</v>
      </c>
      <c r="P12" s="77">
        <f>$C$14</f>
        <v>414</v>
      </c>
      <c r="Q12" s="77">
        <f>$C$15</f>
        <v>608.4</v>
      </c>
      <c r="R12" s="77">
        <f>C$16</f>
        <v>36.700000000000003</v>
      </c>
      <c r="S12" s="77">
        <f>$C$17</f>
        <v>37.200000000000003</v>
      </c>
      <c r="T12" s="77">
        <f>$C$18</f>
        <v>36.1</v>
      </c>
      <c r="U12" s="77">
        <f>$C$19</f>
        <v>128.6</v>
      </c>
      <c r="V12" s="77">
        <f>$C$20</f>
        <v>58.1</v>
      </c>
      <c r="W12" s="77">
        <f>$C$21</f>
        <v>31.8</v>
      </c>
      <c r="X12" s="77">
        <f>$C$22</f>
        <v>153.5</v>
      </c>
      <c r="Y12" s="77">
        <f>$C$23</f>
        <v>72.8</v>
      </c>
      <c r="Z12" s="77">
        <f>$C$24</f>
        <v>21.5</v>
      </c>
      <c r="AA12" s="77">
        <f>$C$25</f>
        <v>52.4</v>
      </c>
      <c r="AB12" s="77">
        <f>$C$26</f>
        <v>90.7</v>
      </c>
      <c r="AC12" s="77">
        <f>$C$27</f>
        <v>46.6</v>
      </c>
      <c r="AD12" s="163">
        <f>$C$28</f>
        <v>45</v>
      </c>
    </row>
    <row r="13" spans="1:30" x14ac:dyDescent="0.25">
      <c r="B13" s="78" t="s">
        <v>165</v>
      </c>
      <c r="C13" s="79">
        <v>263.5</v>
      </c>
      <c r="D13" s="79">
        <v>278.5</v>
      </c>
      <c r="E13" s="79">
        <v>395.8</v>
      </c>
      <c r="F13" s="79">
        <v>407.1</v>
      </c>
      <c r="G13" s="79">
        <v>204.5</v>
      </c>
      <c r="H13" s="80">
        <v>135.1</v>
      </c>
      <c r="K13" s="81"/>
      <c r="L13" s="164" t="s">
        <v>154</v>
      </c>
      <c r="M13" s="75" t="s">
        <v>160</v>
      </c>
      <c r="N13" s="76" t="str">
        <f t="shared" ref="N13:N47" si="0">L13&amp;""&amp;M13</f>
        <v>Urban Auckland Couple with 1 dependent child</v>
      </c>
      <c r="O13" s="77">
        <f>$D$13</f>
        <v>278.5</v>
      </c>
      <c r="P13" s="77">
        <f>$D$14</f>
        <v>455.4</v>
      </c>
      <c r="Q13" s="77">
        <f>$D$15</f>
        <v>664.8</v>
      </c>
      <c r="R13" s="77">
        <f>$D$16</f>
        <v>45.8</v>
      </c>
      <c r="S13" s="77">
        <f>$D$17</f>
        <v>44.8</v>
      </c>
      <c r="T13" s="77">
        <f>$D$18</f>
        <v>35.200000000000003</v>
      </c>
      <c r="U13" s="77">
        <f>$D$19</f>
        <v>107.3</v>
      </c>
      <c r="V13" s="77">
        <f>$D$20</f>
        <v>55.2</v>
      </c>
      <c r="W13" s="77">
        <f>$D$21</f>
        <v>35.700000000000003</v>
      </c>
      <c r="X13" s="77">
        <f>$D$22</f>
        <v>65.7</v>
      </c>
      <c r="Y13" s="77">
        <f>$D$23</f>
        <v>63.1</v>
      </c>
      <c r="Z13" s="77">
        <f>$D$24</f>
        <v>19.600000000000001</v>
      </c>
      <c r="AA13" s="77">
        <f>$D$25</f>
        <v>42.4</v>
      </c>
      <c r="AB13" s="77">
        <f>$D$26</f>
        <v>66.8</v>
      </c>
      <c r="AC13" s="77">
        <f>$D$27</f>
        <v>41.4</v>
      </c>
      <c r="AD13" s="163">
        <f>$D$28</f>
        <v>42</v>
      </c>
    </row>
    <row r="14" spans="1:30" x14ac:dyDescent="0.25">
      <c r="B14" s="82" t="s">
        <v>166</v>
      </c>
      <c r="C14" s="69">
        <v>414</v>
      </c>
      <c r="D14" s="69">
        <v>455.4</v>
      </c>
      <c r="E14" s="69">
        <v>555.29999999999995</v>
      </c>
      <c r="F14" s="69">
        <v>454.5</v>
      </c>
      <c r="G14" s="69">
        <v>422.4</v>
      </c>
      <c r="H14" s="83">
        <v>333.2</v>
      </c>
      <c r="K14" s="81"/>
      <c r="L14" s="164" t="s">
        <v>154</v>
      </c>
      <c r="M14" s="75" t="s">
        <v>161</v>
      </c>
      <c r="N14" s="76" t="str">
        <f t="shared" si="0"/>
        <v>Urban Auckland Couple with 2 dependent children</v>
      </c>
      <c r="O14" s="77">
        <f>$E$13</f>
        <v>395.8</v>
      </c>
      <c r="P14" s="77">
        <f>$E$14</f>
        <v>555.29999999999995</v>
      </c>
      <c r="Q14" s="77">
        <f>$E$15</f>
        <v>640.70000000000005</v>
      </c>
      <c r="R14" s="77">
        <f>$E$16</f>
        <v>20.7</v>
      </c>
      <c r="S14" s="77">
        <f>$E$17</f>
        <v>45.9</v>
      </c>
      <c r="T14" s="77">
        <f>$E$18</f>
        <v>37.200000000000003</v>
      </c>
      <c r="U14" s="77">
        <f>$E$19</f>
        <v>112.9</v>
      </c>
      <c r="V14" s="77">
        <f>$E$20</f>
        <v>62.2</v>
      </c>
      <c r="W14" s="77">
        <f>$E$21</f>
        <v>33.4</v>
      </c>
      <c r="X14" s="77">
        <f>$E$22</f>
        <v>65.7</v>
      </c>
      <c r="Y14" s="77">
        <f>$E$23</f>
        <v>93.5</v>
      </c>
      <c r="Z14" s="77">
        <f>$E$24</f>
        <v>23.6</v>
      </c>
      <c r="AA14" s="77">
        <f>$E$25</f>
        <v>53.2</v>
      </c>
      <c r="AB14" s="77">
        <f>$E$26</f>
        <v>68.099999999999994</v>
      </c>
      <c r="AC14" s="77">
        <f>$E$27</f>
        <v>39</v>
      </c>
      <c r="AD14" s="163">
        <f>$E$28</f>
        <v>65.3</v>
      </c>
    </row>
    <row r="15" spans="1:30" x14ac:dyDescent="0.25">
      <c r="B15" s="82" t="s">
        <v>167</v>
      </c>
      <c r="C15" s="69">
        <v>608.4</v>
      </c>
      <c r="D15" s="69">
        <v>664.8</v>
      </c>
      <c r="E15" s="69">
        <v>640.70000000000005</v>
      </c>
      <c r="F15" s="69">
        <v>840.4</v>
      </c>
      <c r="G15" s="69">
        <v>363.5</v>
      </c>
      <c r="H15" s="83">
        <v>416.1</v>
      </c>
      <c r="K15" s="81"/>
      <c r="L15" s="164" t="s">
        <v>154</v>
      </c>
      <c r="M15" s="75" t="s">
        <v>162</v>
      </c>
      <c r="N15" s="76" t="str">
        <f t="shared" si="0"/>
        <v>Urban Auckland Couple with 3 dependent children</v>
      </c>
      <c r="O15" s="77">
        <f>$F$13</f>
        <v>407.1</v>
      </c>
      <c r="P15" s="77">
        <f>$F$14</f>
        <v>454.5</v>
      </c>
      <c r="Q15" s="77">
        <f>$F$15</f>
        <v>840.4</v>
      </c>
      <c r="R15" s="77">
        <f>$F$16</f>
        <v>58</v>
      </c>
      <c r="S15" s="77">
        <f>$F$17</f>
        <v>64.2</v>
      </c>
      <c r="T15" s="77">
        <f>$F$18</f>
        <v>37</v>
      </c>
      <c r="U15" s="77">
        <f>$F$19</f>
        <v>99</v>
      </c>
      <c r="V15" s="77">
        <f>$F$20</f>
        <v>78</v>
      </c>
      <c r="W15" s="77">
        <f>$F$21</f>
        <v>39.200000000000003</v>
      </c>
      <c r="X15" s="77">
        <f>$F$22</f>
        <v>50.1</v>
      </c>
      <c r="Y15" s="77">
        <f>$F$23</f>
        <v>80.3</v>
      </c>
      <c r="Z15" s="77">
        <f>$F$24</f>
        <v>26.2</v>
      </c>
      <c r="AA15" s="77">
        <f>$F$25</f>
        <v>71</v>
      </c>
      <c r="AB15" s="77">
        <f>$F$26</f>
        <v>60.7</v>
      </c>
      <c r="AC15" s="77">
        <f>$F$27</f>
        <v>30.8</v>
      </c>
      <c r="AD15" s="163">
        <f>$F$28</f>
        <v>44</v>
      </c>
    </row>
    <row r="16" spans="1:30" x14ac:dyDescent="0.25">
      <c r="B16" s="82" t="s">
        <v>168</v>
      </c>
      <c r="C16" s="69">
        <v>36.700000000000003</v>
      </c>
      <c r="D16" s="69">
        <v>45.8</v>
      </c>
      <c r="E16" s="69">
        <v>20.7</v>
      </c>
      <c r="F16" s="69">
        <v>58</v>
      </c>
      <c r="G16" s="69">
        <v>21.5</v>
      </c>
      <c r="H16" s="83">
        <v>51.4</v>
      </c>
      <c r="K16" s="81"/>
      <c r="L16" s="164" t="s">
        <v>154</v>
      </c>
      <c r="M16" s="75" t="s">
        <v>163</v>
      </c>
      <c r="N16" s="76" t="str">
        <f t="shared" si="0"/>
        <v>Urban Auckland 1 parent with dependent child(ren)</v>
      </c>
      <c r="O16" s="77">
        <f>$G$13</f>
        <v>204.5</v>
      </c>
      <c r="P16" s="77">
        <f>$G$14</f>
        <v>422.4</v>
      </c>
      <c r="Q16" s="77">
        <f>$G$15</f>
        <v>363.5</v>
      </c>
      <c r="R16" s="77">
        <f>$G$16</f>
        <v>21.5</v>
      </c>
      <c r="S16" s="77">
        <f>$G$17</f>
        <v>37.200000000000003</v>
      </c>
      <c r="T16" s="77">
        <f>$G$18</f>
        <v>30.9</v>
      </c>
      <c r="U16" s="77">
        <f>$G$19</f>
        <v>67</v>
      </c>
      <c r="V16" s="77">
        <f>$G$20</f>
        <v>34.299999999999997</v>
      </c>
      <c r="W16" s="77">
        <f>$G$21</f>
        <v>26.4</v>
      </c>
      <c r="X16" s="77">
        <f>$G$22</f>
        <v>54.6</v>
      </c>
      <c r="Y16" s="77">
        <f>$G$23</f>
        <v>58.2</v>
      </c>
      <c r="Z16" s="77">
        <f>$G$24</f>
        <v>12.9</v>
      </c>
      <c r="AA16" s="77">
        <f>$G$25</f>
        <v>17.399999999999999</v>
      </c>
      <c r="AB16" s="77">
        <f>$G$26</f>
        <v>17.899999999999999</v>
      </c>
      <c r="AC16" s="77">
        <f>$G$27</f>
        <v>13.9</v>
      </c>
      <c r="AD16" s="163">
        <f>$G$28</f>
        <v>30.1</v>
      </c>
    </row>
    <row r="17" spans="2:30" x14ac:dyDescent="0.25">
      <c r="B17" s="82" t="s">
        <v>170</v>
      </c>
      <c r="C17" s="69">
        <v>37.200000000000003</v>
      </c>
      <c r="D17" s="69">
        <v>44.8</v>
      </c>
      <c r="E17" s="69">
        <v>45.9</v>
      </c>
      <c r="F17" s="69">
        <v>64.2</v>
      </c>
      <c r="G17" s="69">
        <v>37.200000000000003</v>
      </c>
      <c r="H17" s="83">
        <v>28</v>
      </c>
      <c r="K17" s="81"/>
      <c r="L17" s="164" t="s">
        <v>154</v>
      </c>
      <c r="M17" s="75" t="s">
        <v>164</v>
      </c>
      <c r="N17" s="76" t="str">
        <f t="shared" si="0"/>
        <v>Urban Auckland 1 person</v>
      </c>
      <c r="O17" s="77">
        <f>$H$13</f>
        <v>135.1</v>
      </c>
      <c r="P17" s="77">
        <f>$H$14</f>
        <v>333.2</v>
      </c>
      <c r="Q17" s="77">
        <f>$H$15</f>
        <v>416.1</v>
      </c>
      <c r="R17" s="77">
        <f>$H$16</f>
        <v>51.4</v>
      </c>
      <c r="S17" s="77">
        <f>$H$17</f>
        <v>28</v>
      </c>
      <c r="T17" s="77">
        <f>$H$18</f>
        <v>26.6</v>
      </c>
      <c r="U17" s="77">
        <f>$H$19</f>
        <v>68.5</v>
      </c>
      <c r="V17" s="77">
        <f>$H$20</f>
        <v>52.4</v>
      </c>
      <c r="W17" s="77">
        <f>$H$21</f>
        <v>27.9</v>
      </c>
      <c r="X17" s="77">
        <f>$H$22</f>
        <v>36.200000000000003</v>
      </c>
      <c r="Y17" s="77">
        <f>$H$23</f>
        <v>38.4</v>
      </c>
      <c r="Z17" s="77">
        <f>$H$24</f>
        <v>11.4</v>
      </c>
      <c r="AA17" s="77">
        <f>$H$25</f>
        <v>52.6</v>
      </c>
      <c r="AB17" s="77">
        <f>$H$26</f>
        <v>49.1</v>
      </c>
      <c r="AC17" s="77">
        <f>$H$27</f>
        <v>12.4</v>
      </c>
      <c r="AD17" s="163">
        <f>$H$28</f>
        <v>39.6</v>
      </c>
    </row>
    <row r="18" spans="2:30" x14ac:dyDescent="0.25">
      <c r="B18" s="82" t="s">
        <v>171</v>
      </c>
      <c r="C18" s="69">
        <v>36.1</v>
      </c>
      <c r="D18" s="69">
        <v>35.200000000000003</v>
      </c>
      <c r="E18" s="69">
        <v>37.200000000000003</v>
      </c>
      <c r="F18" s="69">
        <v>37</v>
      </c>
      <c r="G18" s="69">
        <v>30.9</v>
      </c>
      <c r="H18" s="83">
        <v>26.6</v>
      </c>
      <c r="K18" s="74"/>
      <c r="L18" s="165" t="s">
        <v>172</v>
      </c>
      <c r="M18" s="84" t="s">
        <v>159</v>
      </c>
      <c r="N18" s="62" t="str">
        <f t="shared" si="0"/>
        <v>Urban Waikato/Bay of Plenty Couple Only</v>
      </c>
      <c r="O18" s="63">
        <f>$C$32</f>
        <v>237.7</v>
      </c>
      <c r="P18" s="63">
        <f>$C$33</f>
        <v>304.89999999999998</v>
      </c>
      <c r="Q18" s="63">
        <f>$C$34</f>
        <v>432.6</v>
      </c>
      <c r="R18" s="63">
        <f>$C$35</f>
        <v>15.7</v>
      </c>
      <c r="S18" s="63">
        <f>$C$36</f>
        <v>44</v>
      </c>
      <c r="T18" s="63">
        <f>$C$37</f>
        <v>33.4</v>
      </c>
      <c r="U18" s="63">
        <f>$C$38</f>
        <v>86.4</v>
      </c>
      <c r="V18" s="63">
        <f>$C$39</f>
        <v>62.2</v>
      </c>
      <c r="W18" s="63">
        <f>$C$40</f>
        <v>30.3</v>
      </c>
      <c r="X18" s="63">
        <f>$C$41</f>
        <v>76.2</v>
      </c>
      <c r="Y18" s="63">
        <f>$C$42</f>
        <v>68.8</v>
      </c>
      <c r="Z18" s="63">
        <f>$C$43</f>
        <v>23.5</v>
      </c>
      <c r="AA18" s="63">
        <f>$C$44</f>
        <v>44</v>
      </c>
      <c r="AB18" s="63">
        <f>$C$45</f>
        <v>73.3</v>
      </c>
      <c r="AC18" s="63">
        <f>$C$46</f>
        <v>34.9</v>
      </c>
      <c r="AD18" s="166">
        <f>$C$47</f>
        <v>38</v>
      </c>
    </row>
    <row r="19" spans="2:30" x14ac:dyDescent="0.25">
      <c r="B19" s="82" t="s">
        <v>173</v>
      </c>
      <c r="C19" s="69">
        <v>128.6</v>
      </c>
      <c r="D19" s="69">
        <v>107.3</v>
      </c>
      <c r="E19" s="69">
        <v>112.9</v>
      </c>
      <c r="F19" s="69">
        <v>99</v>
      </c>
      <c r="G19" s="69">
        <v>67</v>
      </c>
      <c r="H19" s="83">
        <v>68.5</v>
      </c>
      <c r="K19" s="74"/>
      <c r="L19" s="165" t="s">
        <v>172</v>
      </c>
      <c r="M19" s="84" t="s">
        <v>160</v>
      </c>
      <c r="N19" s="62" t="str">
        <f t="shared" si="0"/>
        <v>Urban Waikato/Bay of Plenty Couple with 1 dependent child</v>
      </c>
      <c r="O19" s="63">
        <f>$D$32</f>
        <v>357.2</v>
      </c>
      <c r="P19" s="63">
        <f>$D$33</f>
        <v>430.1</v>
      </c>
      <c r="Q19" s="63">
        <f>$D$34</f>
        <v>551.1</v>
      </c>
      <c r="R19" s="63">
        <f>$D$35</f>
        <v>40.299999999999997</v>
      </c>
      <c r="S19" s="63">
        <f>$D$36</f>
        <v>50.4</v>
      </c>
      <c r="T19" s="63">
        <f>$D$37</f>
        <v>33.200000000000003</v>
      </c>
      <c r="U19" s="63">
        <f>$D$38</f>
        <v>167.3</v>
      </c>
      <c r="V19" s="63">
        <f>$D$39</f>
        <v>57.2</v>
      </c>
      <c r="W19" s="63">
        <f>$D$40</f>
        <v>28.5</v>
      </c>
      <c r="X19" s="63">
        <f>$D$41</f>
        <v>48.6</v>
      </c>
      <c r="Y19" s="63">
        <f>$D$42</f>
        <v>44.6</v>
      </c>
      <c r="Z19" s="63">
        <f>$D$43</f>
        <v>16.600000000000001</v>
      </c>
      <c r="AA19" s="63">
        <f>$D$44</f>
        <v>41.3</v>
      </c>
      <c r="AB19" s="63">
        <f>$D$45</f>
        <v>65</v>
      </c>
      <c r="AC19" s="63">
        <f>$D$46</f>
        <v>16.600000000000001</v>
      </c>
      <c r="AD19" s="166">
        <f>$D$47</f>
        <v>38.4</v>
      </c>
    </row>
    <row r="20" spans="2:30" x14ac:dyDescent="0.25">
      <c r="B20" s="82" t="s">
        <v>174</v>
      </c>
      <c r="C20" s="69">
        <v>58.1</v>
      </c>
      <c r="D20" s="69">
        <v>55.2</v>
      </c>
      <c r="E20" s="69">
        <v>62.2</v>
      </c>
      <c r="F20" s="69">
        <v>78</v>
      </c>
      <c r="G20" s="69">
        <v>34.299999999999997</v>
      </c>
      <c r="H20" s="83">
        <v>52.4</v>
      </c>
      <c r="K20" s="74"/>
      <c r="L20" s="165" t="s">
        <v>172</v>
      </c>
      <c r="M20" s="84" t="s">
        <v>161</v>
      </c>
      <c r="N20" s="62" t="str">
        <f t="shared" si="0"/>
        <v>Urban Waikato/Bay of Plenty Couple with 2 dependent children</v>
      </c>
      <c r="O20" s="63">
        <f>$E$32</f>
        <v>349</v>
      </c>
      <c r="P20" s="63">
        <f>$E$33</f>
        <v>364.3</v>
      </c>
      <c r="Q20" s="63">
        <f>$E$34</f>
        <v>455.4</v>
      </c>
      <c r="R20" s="63">
        <f>$E$35</f>
        <v>27.3</v>
      </c>
      <c r="S20" s="63">
        <f>$E$36</f>
        <v>50.1</v>
      </c>
      <c r="T20" s="63">
        <f>$E$37</f>
        <v>34.799999999999997</v>
      </c>
      <c r="U20" s="63">
        <f>$E$38</f>
        <v>103.5</v>
      </c>
      <c r="V20" s="63">
        <f>$E$39</f>
        <v>61.8</v>
      </c>
      <c r="W20" s="63">
        <f>$E$40</f>
        <v>28.6</v>
      </c>
      <c r="X20" s="63">
        <f>$E$41</f>
        <v>47.9</v>
      </c>
      <c r="Y20" s="63">
        <f>$E$42</f>
        <v>87.5</v>
      </c>
      <c r="Z20" s="63">
        <f>$E$43</f>
        <v>14.8</v>
      </c>
      <c r="AA20" s="63">
        <f>$E$44</f>
        <v>39.5</v>
      </c>
      <c r="AB20" s="63">
        <f>$E$45</f>
        <v>47.2</v>
      </c>
      <c r="AC20" s="63">
        <f>$E$46</f>
        <v>27.7</v>
      </c>
      <c r="AD20" s="166">
        <f>$E$47</f>
        <v>40.9</v>
      </c>
    </row>
    <row r="21" spans="2:30" x14ac:dyDescent="0.25">
      <c r="B21" s="82" t="s">
        <v>175</v>
      </c>
      <c r="C21" s="69">
        <v>31.8</v>
      </c>
      <c r="D21" s="69">
        <v>35.700000000000003</v>
      </c>
      <c r="E21" s="69">
        <v>33.4</v>
      </c>
      <c r="F21" s="69">
        <v>39.200000000000003</v>
      </c>
      <c r="G21" s="69">
        <v>26.4</v>
      </c>
      <c r="H21" s="83">
        <v>27.9</v>
      </c>
      <c r="K21" s="74"/>
      <c r="L21" s="165" t="s">
        <v>172</v>
      </c>
      <c r="M21" s="84" t="s">
        <v>162</v>
      </c>
      <c r="N21" s="62" t="str">
        <f t="shared" si="0"/>
        <v>Urban Waikato/Bay of Plenty Couple with 3 dependent children</v>
      </c>
      <c r="O21" s="63">
        <f>$F$32</f>
        <v>294.10000000000002</v>
      </c>
      <c r="P21" s="63">
        <f>$F$33</f>
        <v>420.6</v>
      </c>
      <c r="Q21" s="63">
        <f>$F$34</f>
        <v>524.4</v>
      </c>
      <c r="R21" s="63">
        <f>$F$35</f>
        <v>47.1</v>
      </c>
      <c r="S21" s="63">
        <f>$F$36</f>
        <v>59.5</v>
      </c>
      <c r="T21" s="63">
        <f>$F$37</f>
        <v>45</v>
      </c>
      <c r="U21" s="63">
        <f>$F$38</f>
        <v>57.4</v>
      </c>
      <c r="V21" s="63">
        <f>$F$39</f>
        <v>38.200000000000003</v>
      </c>
      <c r="W21" s="63">
        <f>$F$40</f>
        <v>39.799999999999997</v>
      </c>
      <c r="X21" s="63">
        <f>$F$41</f>
        <v>29</v>
      </c>
      <c r="Y21" s="63">
        <f>$F$42</f>
        <v>118.4</v>
      </c>
      <c r="Z21" s="63">
        <f>$F$43</f>
        <v>25.5</v>
      </c>
      <c r="AA21" s="63">
        <f>$F$44</f>
        <v>67.400000000000006</v>
      </c>
      <c r="AB21" s="63">
        <f>$F$45</f>
        <v>46.5</v>
      </c>
      <c r="AC21" s="63">
        <f>$F$46</f>
        <v>29.7</v>
      </c>
      <c r="AD21" s="166">
        <f>$F$47</f>
        <v>31.7</v>
      </c>
    </row>
    <row r="22" spans="2:30" x14ac:dyDescent="0.25">
      <c r="B22" s="82" t="s">
        <v>176</v>
      </c>
      <c r="C22" s="69">
        <v>153.5</v>
      </c>
      <c r="D22" s="69">
        <v>65.7</v>
      </c>
      <c r="E22" s="69">
        <v>65.7</v>
      </c>
      <c r="F22" s="69">
        <v>50.1</v>
      </c>
      <c r="G22" s="69">
        <v>54.6</v>
      </c>
      <c r="H22" s="83">
        <v>36.200000000000003</v>
      </c>
      <c r="K22" s="81"/>
      <c r="L22" s="167" t="s">
        <v>172</v>
      </c>
      <c r="M22" s="84" t="s">
        <v>163</v>
      </c>
      <c r="N22" s="62" t="str">
        <f t="shared" si="0"/>
        <v>Urban Waikato/Bay of Plenty 1 parent with dependent child(ren)</v>
      </c>
      <c r="O22" s="63">
        <f>$G$32</f>
        <v>131.80000000000001</v>
      </c>
      <c r="P22" s="63">
        <f>$G$33</f>
        <v>340.6</v>
      </c>
      <c r="Q22" s="63">
        <f>$G$34</f>
        <v>471.6</v>
      </c>
      <c r="R22" s="63">
        <f>$G$35</f>
        <v>27.1</v>
      </c>
      <c r="S22" s="63">
        <f>$G$36</f>
        <v>40.1</v>
      </c>
      <c r="T22" s="63">
        <f>$G$37</f>
        <v>28.3</v>
      </c>
      <c r="U22" s="63">
        <f>$G$38</f>
        <v>36.6</v>
      </c>
      <c r="V22" s="63">
        <f>$G$39</f>
        <v>36.9</v>
      </c>
      <c r="W22" s="63">
        <f>$G$40</f>
        <v>21.9</v>
      </c>
      <c r="X22" s="63">
        <f>$G$41</f>
        <v>44.1</v>
      </c>
      <c r="Y22" s="63">
        <f>$G$42</f>
        <v>42.9</v>
      </c>
      <c r="Z22" s="63">
        <f>$G$43</f>
        <v>11</v>
      </c>
      <c r="AA22" s="63">
        <f>$G$44</f>
        <v>17.399999999999999</v>
      </c>
      <c r="AB22" s="63">
        <f>$G$45</f>
        <v>41.9</v>
      </c>
      <c r="AC22" s="63">
        <f>$G$46</f>
        <v>7.1</v>
      </c>
      <c r="AD22" s="166">
        <f>$G$47</f>
        <v>14.6</v>
      </c>
    </row>
    <row r="23" spans="2:30" x14ac:dyDescent="0.25">
      <c r="B23" s="82" t="s">
        <v>177</v>
      </c>
      <c r="C23" s="69">
        <v>72.8</v>
      </c>
      <c r="D23" s="69">
        <v>63.1</v>
      </c>
      <c r="E23" s="69">
        <v>93.5</v>
      </c>
      <c r="F23" s="69">
        <v>80.3</v>
      </c>
      <c r="G23" s="69">
        <v>58.2</v>
      </c>
      <c r="H23" s="83">
        <v>38.4</v>
      </c>
      <c r="K23" s="81"/>
      <c r="L23" s="167" t="s">
        <v>172</v>
      </c>
      <c r="M23" s="84" t="s">
        <v>164</v>
      </c>
      <c r="N23" s="62" t="str">
        <f t="shared" si="0"/>
        <v>Urban Waikato/Bay of Plenty 1 person</v>
      </c>
      <c r="O23" s="63">
        <f>$H$32</f>
        <v>112.3</v>
      </c>
      <c r="P23" s="63">
        <f>$H$33</f>
        <v>228.4</v>
      </c>
      <c r="Q23" s="63">
        <f>$H$34</f>
        <v>308.39999999999998</v>
      </c>
      <c r="R23" s="63">
        <f>$H$35</f>
        <v>10.4</v>
      </c>
      <c r="S23" s="63">
        <f>$H$36</f>
        <v>34.700000000000003</v>
      </c>
      <c r="T23" s="63">
        <f>$H$37</f>
        <v>27.1</v>
      </c>
      <c r="U23" s="63">
        <f>$H$38</f>
        <v>52.7</v>
      </c>
      <c r="V23" s="63">
        <f>$H$39</f>
        <v>48.4</v>
      </c>
      <c r="W23" s="63">
        <f>$H$40</f>
        <v>21.3</v>
      </c>
      <c r="X23" s="63">
        <f>$H$41</f>
        <v>51.2</v>
      </c>
      <c r="Y23" s="63">
        <f>$H$42</f>
        <v>46.4</v>
      </c>
      <c r="Z23" s="63">
        <f>$H$43</f>
        <v>10.6</v>
      </c>
      <c r="AA23" s="63">
        <f>$H$44</f>
        <v>45.2</v>
      </c>
      <c r="AB23" s="63">
        <f>$H$45</f>
        <v>37.799999999999997</v>
      </c>
      <c r="AC23" s="63">
        <f>$H$46</f>
        <v>16.8</v>
      </c>
      <c r="AD23" s="166">
        <f>$H$47</f>
        <v>25</v>
      </c>
    </row>
    <row r="24" spans="2:30" x14ac:dyDescent="0.25">
      <c r="B24" s="82" t="s">
        <v>178</v>
      </c>
      <c r="C24" s="69">
        <v>21.5</v>
      </c>
      <c r="D24" s="69">
        <v>19.600000000000001</v>
      </c>
      <c r="E24" s="69">
        <v>23.6</v>
      </c>
      <c r="F24" s="69">
        <v>26.2</v>
      </c>
      <c r="G24" s="69">
        <v>12.9</v>
      </c>
      <c r="H24" s="83">
        <v>11.4</v>
      </c>
      <c r="K24" s="81"/>
      <c r="L24" s="168" t="s">
        <v>179</v>
      </c>
      <c r="M24" s="85" t="s">
        <v>159</v>
      </c>
      <c r="N24" s="86" t="str">
        <f t="shared" si="0"/>
        <v>Urban Wellington Couple Only</v>
      </c>
      <c r="O24" s="87">
        <f>$C$51</f>
        <v>282.7</v>
      </c>
      <c r="P24" s="87">
        <f>$C$52</f>
        <v>297.3</v>
      </c>
      <c r="Q24" s="87">
        <f>$C$53</f>
        <v>489</v>
      </c>
      <c r="R24" s="87">
        <f>$C$54</f>
        <v>32.299999999999997</v>
      </c>
      <c r="S24" s="87">
        <f>$C$55</f>
        <v>46.1</v>
      </c>
      <c r="T24" s="87">
        <f>$C$56</f>
        <v>40.200000000000003</v>
      </c>
      <c r="U24" s="87">
        <f>$C$57</f>
        <v>123.9</v>
      </c>
      <c r="V24" s="87">
        <f>$C$58</f>
        <v>70.400000000000006</v>
      </c>
      <c r="W24" s="87">
        <f>$C$59</f>
        <v>37.5</v>
      </c>
      <c r="X24" s="87">
        <f>$C$60</f>
        <v>142.1</v>
      </c>
      <c r="Y24" s="87">
        <f>$C$61</f>
        <v>77.8</v>
      </c>
      <c r="Z24" s="87">
        <f>$C$62</f>
        <v>18.899999999999999</v>
      </c>
      <c r="AA24" s="87">
        <f>$C$63</f>
        <v>67.400000000000006</v>
      </c>
      <c r="AB24" s="87">
        <f>$C$64</f>
        <v>66.7</v>
      </c>
      <c r="AC24" s="87">
        <f>$C$65</f>
        <v>32.799999999999997</v>
      </c>
      <c r="AD24" s="169">
        <f>$C$66</f>
        <v>36.700000000000003</v>
      </c>
    </row>
    <row r="25" spans="2:30" x14ac:dyDescent="0.25">
      <c r="B25" s="82" t="s">
        <v>180</v>
      </c>
      <c r="C25" s="69">
        <v>52.4</v>
      </c>
      <c r="D25" s="69">
        <v>42.4</v>
      </c>
      <c r="E25" s="69">
        <v>53.2</v>
      </c>
      <c r="F25" s="69">
        <v>71</v>
      </c>
      <c r="G25" s="69">
        <v>17.399999999999999</v>
      </c>
      <c r="H25" s="83">
        <v>52.6</v>
      </c>
      <c r="K25" s="81"/>
      <c r="L25" s="168" t="s">
        <v>179</v>
      </c>
      <c r="M25" s="85" t="s">
        <v>160</v>
      </c>
      <c r="N25" s="86" t="str">
        <f t="shared" si="0"/>
        <v>Urban Wellington Couple with 1 dependent child</v>
      </c>
      <c r="O25" s="87">
        <f>$D$51</f>
        <v>317.7</v>
      </c>
      <c r="P25" s="87">
        <f>$D$52</f>
        <v>303.5</v>
      </c>
      <c r="Q25" s="87">
        <f>$D$53</f>
        <v>591</v>
      </c>
      <c r="R25" s="87">
        <f>$D$54</f>
        <v>21.3</v>
      </c>
      <c r="S25" s="87">
        <f>$D$55</f>
        <v>56</v>
      </c>
      <c r="T25" s="87">
        <f>$D$56</f>
        <v>36.299999999999997</v>
      </c>
      <c r="U25" s="87">
        <f>$D$57</f>
        <v>106.5</v>
      </c>
      <c r="V25" s="87">
        <f>$D$58</f>
        <v>53.4</v>
      </c>
      <c r="W25" s="87">
        <f>$D$59</f>
        <v>45.9</v>
      </c>
      <c r="X25" s="87">
        <f>$D$60</f>
        <v>167.3</v>
      </c>
      <c r="Y25" s="87">
        <f>$D$61</f>
        <v>59.9</v>
      </c>
      <c r="Z25" s="87">
        <f>$D$62</f>
        <v>18.8</v>
      </c>
      <c r="AA25" s="87">
        <f>$D$63</f>
        <v>38</v>
      </c>
      <c r="AB25" s="87">
        <f>$D$64</f>
        <v>90.9</v>
      </c>
      <c r="AC25" s="87">
        <f>$D$65</f>
        <v>30.2</v>
      </c>
      <c r="AD25" s="169">
        <f>$D$66</f>
        <v>35.200000000000003</v>
      </c>
    </row>
    <row r="26" spans="2:30" x14ac:dyDescent="0.25">
      <c r="B26" s="82" t="s">
        <v>181</v>
      </c>
      <c r="C26" s="69">
        <v>90.7</v>
      </c>
      <c r="D26" s="69">
        <v>66.8</v>
      </c>
      <c r="E26" s="69">
        <v>68.099999999999994</v>
      </c>
      <c r="F26" s="69">
        <v>60.7</v>
      </c>
      <c r="G26" s="69">
        <v>17.899999999999999</v>
      </c>
      <c r="H26" s="83">
        <v>49.1</v>
      </c>
      <c r="K26" s="81"/>
      <c r="L26" s="168" t="s">
        <v>179</v>
      </c>
      <c r="M26" s="85" t="s">
        <v>161</v>
      </c>
      <c r="N26" s="86" t="str">
        <f t="shared" si="0"/>
        <v>Urban Wellington Couple with 2 dependent children</v>
      </c>
      <c r="O26" s="87">
        <f>$E$51</f>
        <v>373.9</v>
      </c>
      <c r="P26" s="87">
        <f>$E$52</f>
        <v>465.1</v>
      </c>
      <c r="Q26" s="87">
        <f>$E$53</f>
        <v>498.1</v>
      </c>
      <c r="R26" s="87">
        <f>$E$54</f>
        <v>41.1</v>
      </c>
      <c r="S26" s="87">
        <f>$E$55</f>
        <v>57.7</v>
      </c>
      <c r="T26" s="87">
        <f>$E$56</f>
        <v>43.8</v>
      </c>
      <c r="U26" s="87">
        <f>$E$57</f>
        <v>147.30000000000001</v>
      </c>
      <c r="V26" s="87">
        <f>$E$58</f>
        <v>73.900000000000006</v>
      </c>
      <c r="W26" s="87">
        <f>$E$59</f>
        <v>38.1</v>
      </c>
      <c r="X26" s="87">
        <f>$E$60</f>
        <v>49.9</v>
      </c>
      <c r="Y26" s="87">
        <f>$E$61</f>
        <v>85.2</v>
      </c>
      <c r="Z26" s="87">
        <f>$E$62</f>
        <v>17</v>
      </c>
      <c r="AA26" s="87">
        <f>$E$63</f>
        <v>46</v>
      </c>
      <c r="AB26" s="87">
        <f>$E$64</f>
        <v>70.599999999999994</v>
      </c>
      <c r="AC26" s="87">
        <f>$E$65</f>
        <v>38.299999999999997</v>
      </c>
      <c r="AD26" s="169">
        <f>$E$66</f>
        <v>51.1</v>
      </c>
    </row>
    <row r="27" spans="2:30" x14ac:dyDescent="0.25">
      <c r="B27" s="82" t="s">
        <v>182</v>
      </c>
      <c r="C27" s="69">
        <v>46.6</v>
      </c>
      <c r="D27" s="69">
        <v>41.4</v>
      </c>
      <c r="E27" s="69">
        <v>39</v>
      </c>
      <c r="F27" s="69">
        <v>30.8</v>
      </c>
      <c r="G27" s="69">
        <v>13.9</v>
      </c>
      <c r="H27" s="83">
        <v>12.4</v>
      </c>
      <c r="K27" s="81"/>
      <c r="L27" s="168" t="s">
        <v>179</v>
      </c>
      <c r="M27" s="85" t="s">
        <v>162</v>
      </c>
      <c r="N27" s="86" t="str">
        <f t="shared" si="0"/>
        <v>Urban Wellington Couple with 3 dependent children</v>
      </c>
      <c r="O27" s="87">
        <f>$F$51</f>
        <v>435.2</v>
      </c>
      <c r="P27" s="87">
        <f>$F$52</f>
        <v>267.5</v>
      </c>
      <c r="Q27" s="87">
        <f>$F$53</f>
        <v>542.70000000000005</v>
      </c>
      <c r="R27" s="87">
        <f>$F$54</f>
        <v>42.8</v>
      </c>
      <c r="S27" s="87">
        <f>$F$55</f>
        <v>62.8</v>
      </c>
      <c r="T27" s="87">
        <f>$F$56</f>
        <v>44.2</v>
      </c>
      <c r="U27" s="87">
        <f>$F$57</f>
        <v>170.2</v>
      </c>
      <c r="V27" s="87">
        <f>$F$58</f>
        <v>78.7</v>
      </c>
      <c r="W27" s="87">
        <f>$F$59</f>
        <v>43.8</v>
      </c>
      <c r="X27" s="87">
        <f>$F$60</f>
        <v>50.4</v>
      </c>
      <c r="Y27" s="87">
        <f>$F$61</f>
        <v>106.8</v>
      </c>
      <c r="Z27" s="87">
        <f>$F$62</f>
        <v>20.7</v>
      </c>
      <c r="AA27" s="87">
        <f>$F$63</f>
        <v>67.400000000000006</v>
      </c>
      <c r="AB27" s="87">
        <f>$F$64</f>
        <v>109.9</v>
      </c>
      <c r="AC27" s="87">
        <f>$F$65</f>
        <v>36.1</v>
      </c>
      <c r="AD27" s="169">
        <f>$F$66</f>
        <v>48.3</v>
      </c>
    </row>
    <row r="28" spans="2:30" ht="15.75" thickBot="1" x14ac:dyDescent="0.3">
      <c r="B28" s="88" t="s">
        <v>183</v>
      </c>
      <c r="C28" s="89">
        <v>45</v>
      </c>
      <c r="D28" s="89">
        <v>42</v>
      </c>
      <c r="E28" s="89">
        <v>65.3</v>
      </c>
      <c r="F28" s="89">
        <v>44</v>
      </c>
      <c r="G28" s="89">
        <v>30.1</v>
      </c>
      <c r="H28" s="90">
        <v>39.6</v>
      </c>
      <c r="K28" s="81"/>
      <c r="L28" s="168" t="s">
        <v>179</v>
      </c>
      <c r="M28" s="85" t="s">
        <v>163</v>
      </c>
      <c r="N28" s="86" t="str">
        <f t="shared" si="0"/>
        <v>Urban Wellington 1 parent with dependent child(ren)</v>
      </c>
      <c r="O28" s="87">
        <f>$G$51</f>
        <v>222.7</v>
      </c>
      <c r="P28" s="87">
        <f>$G$52</f>
        <v>258.89999999999998</v>
      </c>
      <c r="Q28" s="87">
        <f>$G$53</f>
        <v>349.1</v>
      </c>
      <c r="R28" s="87">
        <f>$G$54</f>
        <v>27.1</v>
      </c>
      <c r="S28" s="87">
        <f>$G$55</f>
        <v>37.5</v>
      </c>
      <c r="T28" s="87">
        <f>$G$56</f>
        <v>27.4</v>
      </c>
      <c r="U28" s="87">
        <f>$G$57</f>
        <v>29</v>
      </c>
      <c r="V28" s="87">
        <f>$G$58</f>
        <v>51.1</v>
      </c>
      <c r="W28" s="87">
        <f>$G$59</f>
        <v>24.4</v>
      </c>
      <c r="X28" s="87">
        <f>$G$60</f>
        <v>44.1</v>
      </c>
      <c r="Y28" s="87">
        <f>$G$61</f>
        <v>69.3</v>
      </c>
      <c r="Z28" s="87">
        <f>$G$62</f>
        <v>8.9</v>
      </c>
      <c r="AA28" s="87">
        <f>$G$63</f>
        <v>17.399999999999999</v>
      </c>
      <c r="AB28" s="87">
        <f>$G$64</f>
        <v>32.5</v>
      </c>
      <c r="AC28" s="87">
        <f>$G$65</f>
        <v>10.1</v>
      </c>
      <c r="AD28" s="169">
        <f>$G$66</f>
        <v>20.6</v>
      </c>
    </row>
    <row r="29" spans="2:30" ht="15.75" thickBot="1" x14ac:dyDescent="0.3">
      <c r="K29" s="81"/>
      <c r="L29" s="168" t="s">
        <v>179</v>
      </c>
      <c r="M29" s="85" t="s">
        <v>164</v>
      </c>
      <c r="N29" s="86" t="str">
        <f t="shared" si="0"/>
        <v>Urban Wellington 1 person</v>
      </c>
      <c r="O29" s="87">
        <f>$H$51</f>
        <v>116.6</v>
      </c>
      <c r="P29" s="87">
        <f>$H$52</f>
        <v>221.3</v>
      </c>
      <c r="Q29" s="87">
        <f>$H$53</f>
        <v>368.2</v>
      </c>
      <c r="R29" s="87">
        <f>$H$54</f>
        <v>25</v>
      </c>
      <c r="S29" s="87">
        <f>$H$55</f>
        <v>29.9</v>
      </c>
      <c r="T29" s="87">
        <f>$H$56</f>
        <v>30.3</v>
      </c>
      <c r="U29" s="87">
        <f>$H$57</f>
        <v>130.9</v>
      </c>
      <c r="V29" s="87">
        <f>$H$58</f>
        <v>52.6</v>
      </c>
      <c r="W29" s="87">
        <f>$H$59</f>
        <v>28.2</v>
      </c>
      <c r="X29" s="87">
        <f>$H$60</f>
        <v>63.1</v>
      </c>
      <c r="Y29" s="87">
        <f>$H$61</f>
        <v>31.7</v>
      </c>
      <c r="Z29" s="87">
        <f>$H$62</f>
        <v>12.9</v>
      </c>
      <c r="AA29" s="87">
        <f>$H$63</f>
        <v>29.3</v>
      </c>
      <c r="AB29" s="87">
        <f>$H$64</f>
        <v>34.6</v>
      </c>
      <c r="AC29" s="87">
        <f>$H$65</f>
        <v>14.2</v>
      </c>
      <c r="AD29" s="169">
        <f>$H$66</f>
        <v>31.8</v>
      </c>
    </row>
    <row r="30" spans="2:30" x14ac:dyDescent="0.25">
      <c r="B30" s="70" t="s">
        <v>172</v>
      </c>
      <c r="C30" s="668" t="s">
        <v>155</v>
      </c>
      <c r="D30" s="668"/>
      <c r="E30" s="668"/>
      <c r="F30" s="668"/>
      <c r="G30" s="668"/>
      <c r="H30" s="669"/>
      <c r="K30" s="81"/>
      <c r="L30" s="170" t="s">
        <v>184</v>
      </c>
      <c r="M30" s="91" t="s">
        <v>159</v>
      </c>
      <c r="N30" s="92" t="str">
        <f t="shared" si="0"/>
        <v>Rest of Urban North Island Couple Only</v>
      </c>
      <c r="O30" s="93">
        <f>$C$70</f>
        <v>206</v>
      </c>
      <c r="P30" s="93">
        <f>$C$71</f>
        <v>240.9</v>
      </c>
      <c r="Q30" s="93">
        <f>$C$72</f>
        <v>343.9</v>
      </c>
      <c r="R30" s="93">
        <f>$C$73</f>
        <v>15.1</v>
      </c>
      <c r="S30" s="93">
        <f>$C$74</f>
        <v>46</v>
      </c>
      <c r="T30" s="93">
        <f>$C$75</f>
        <v>33.5</v>
      </c>
      <c r="U30" s="93">
        <f>$C$76</f>
        <v>76.900000000000006</v>
      </c>
      <c r="V30" s="93">
        <f>$C$77</f>
        <v>55.7</v>
      </c>
      <c r="W30" s="93">
        <f>$C$78</f>
        <v>30.8</v>
      </c>
      <c r="X30" s="93">
        <f>$C$79</f>
        <v>83.5</v>
      </c>
      <c r="Y30" s="93">
        <f>$C$80</f>
        <v>77.099999999999994</v>
      </c>
      <c r="Z30" s="93">
        <f>$C$81</f>
        <v>17.600000000000001</v>
      </c>
      <c r="AA30" s="93">
        <f>$C$82</f>
        <v>89.9</v>
      </c>
      <c r="AB30" s="93">
        <f>$C$83</f>
        <v>72.7</v>
      </c>
      <c r="AC30" s="93">
        <f>$C$84</f>
        <v>35.5</v>
      </c>
      <c r="AD30" s="171">
        <f>$C$85</f>
        <v>47.2</v>
      </c>
    </row>
    <row r="31" spans="2:30" ht="45.75" thickBot="1" x14ac:dyDescent="0.3">
      <c r="B31" s="71"/>
      <c r="C31" s="72" t="s">
        <v>159</v>
      </c>
      <c r="D31" s="72" t="s">
        <v>160</v>
      </c>
      <c r="E31" s="72" t="s">
        <v>185</v>
      </c>
      <c r="F31" s="72" t="s">
        <v>186</v>
      </c>
      <c r="G31" s="72" t="s">
        <v>169</v>
      </c>
      <c r="H31" s="73" t="s">
        <v>187</v>
      </c>
      <c r="K31" s="81"/>
      <c r="L31" s="170" t="s">
        <v>184</v>
      </c>
      <c r="M31" s="91" t="s">
        <v>160</v>
      </c>
      <c r="N31" s="92" t="str">
        <f t="shared" si="0"/>
        <v>Rest of Urban North Island Couple with 1 dependent child</v>
      </c>
      <c r="O31" s="93">
        <f>$D$70</f>
        <v>330.8</v>
      </c>
      <c r="P31" s="93">
        <f>$D$71</f>
        <v>285.2</v>
      </c>
      <c r="Q31" s="93">
        <f>$D$72</f>
        <v>439</v>
      </c>
      <c r="R31" s="93">
        <f>$D$73</f>
        <v>40.299999999999997</v>
      </c>
      <c r="S31" s="93">
        <f>$D$74</f>
        <v>65.3</v>
      </c>
      <c r="T31" s="93">
        <f>$D$75</f>
        <v>38.799999999999997</v>
      </c>
      <c r="U31" s="93">
        <f>$D$76</f>
        <v>108.6</v>
      </c>
      <c r="V31" s="93">
        <f>$D$77</f>
        <v>63.7</v>
      </c>
      <c r="W31" s="93">
        <f>$D$78</f>
        <v>36.299999999999997</v>
      </c>
      <c r="X31" s="93">
        <f>$D$79</f>
        <v>105.4</v>
      </c>
      <c r="Y31" s="93">
        <f>$D$80</f>
        <v>62.8</v>
      </c>
      <c r="Z31" s="93">
        <f>$D$81</f>
        <v>15.1</v>
      </c>
      <c r="AA31" s="93">
        <f>$D$82</f>
        <v>43.6</v>
      </c>
      <c r="AB31" s="93">
        <f>$D$83</f>
        <v>126.1</v>
      </c>
      <c r="AC31" s="93">
        <f>$D$84</f>
        <v>45.3</v>
      </c>
      <c r="AD31" s="171">
        <f>$D$85</f>
        <v>46.9</v>
      </c>
    </row>
    <row r="32" spans="2:30" x14ac:dyDescent="0.25">
      <c r="B32" s="78" t="s">
        <v>165</v>
      </c>
      <c r="C32" s="79">
        <v>237.7</v>
      </c>
      <c r="D32" s="79">
        <v>357.2</v>
      </c>
      <c r="E32" s="79">
        <v>349</v>
      </c>
      <c r="F32" s="79">
        <v>294.10000000000002</v>
      </c>
      <c r="G32" s="79">
        <v>131.80000000000001</v>
      </c>
      <c r="H32" s="80">
        <v>112.3</v>
      </c>
      <c r="K32" s="81"/>
      <c r="L32" s="170" t="s">
        <v>184</v>
      </c>
      <c r="M32" s="91" t="s">
        <v>161</v>
      </c>
      <c r="N32" s="92" t="str">
        <f t="shared" si="0"/>
        <v>Rest of Urban North Island Couple with 2 dependent children</v>
      </c>
      <c r="O32" s="93">
        <f>$E$70</f>
        <v>329.1</v>
      </c>
      <c r="P32" s="93">
        <f>$E$71</f>
        <v>243.6</v>
      </c>
      <c r="Q32" s="93">
        <f>$E$72</f>
        <v>311</v>
      </c>
      <c r="R32" s="93">
        <f>$E$73</f>
        <v>27.3</v>
      </c>
      <c r="S32" s="93">
        <f>$E$74</f>
        <v>48.9</v>
      </c>
      <c r="T32" s="93">
        <f>$E$75</f>
        <v>37.1</v>
      </c>
      <c r="U32" s="93">
        <f>$E$76</f>
        <v>131.5</v>
      </c>
      <c r="V32" s="93">
        <f>$E$77</f>
        <v>50</v>
      </c>
      <c r="W32" s="93">
        <f>$E$78</f>
        <v>32.799999999999997</v>
      </c>
      <c r="X32" s="93">
        <f>$E$79</f>
        <v>24.5</v>
      </c>
      <c r="Y32" s="93">
        <f>$E$80</f>
        <v>94.8</v>
      </c>
      <c r="Z32" s="93">
        <f>$E$81</f>
        <v>15.9</v>
      </c>
      <c r="AA32" s="93">
        <f>$E$82</f>
        <v>54.3</v>
      </c>
      <c r="AB32" s="93">
        <f>$E$83</f>
        <v>155.5</v>
      </c>
      <c r="AC32" s="93">
        <f>$E$84</f>
        <v>32.200000000000003</v>
      </c>
      <c r="AD32" s="171">
        <f>$E$85</f>
        <v>55.4</v>
      </c>
    </row>
    <row r="33" spans="2:30" x14ac:dyDescent="0.25">
      <c r="B33" s="82" t="s">
        <v>166</v>
      </c>
      <c r="C33" s="69">
        <v>304.89999999999998</v>
      </c>
      <c r="D33" s="69">
        <v>430.1</v>
      </c>
      <c r="E33" s="69">
        <v>364.3</v>
      </c>
      <c r="F33" s="69">
        <v>420.6</v>
      </c>
      <c r="G33" s="69">
        <v>340.6</v>
      </c>
      <c r="H33" s="83">
        <v>228.4</v>
      </c>
      <c r="K33" s="81"/>
      <c r="L33" s="170" t="s">
        <v>184</v>
      </c>
      <c r="M33" s="91" t="s">
        <v>162</v>
      </c>
      <c r="N33" s="92" t="str">
        <f t="shared" si="0"/>
        <v>Rest of Urban North Island Couple with 3 dependent children</v>
      </c>
      <c r="O33" s="93">
        <f>$F$70</f>
        <v>323.3</v>
      </c>
      <c r="P33" s="93">
        <f>$F$71</f>
        <v>275.10000000000002</v>
      </c>
      <c r="Q33" s="93">
        <f>$F$72</f>
        <v>439.8</v>
      </c>
      <c r="R33" s="93">
        <f>$F$73</f>
        <v>47.1</v>
      </c>
      <c r="S33" s="93">
        <f>$F$74</f>
        <v>56.5</v>
      </c>
      <c r="T33" s="93">
        <f>$F$75</f>
        <v>36.9</v>
      </c>
      <c r="U33" s="93">
        <f>$F$76</f>
        <v>22.7</v>
      </c>
      <c r="V33" s="93">
        <f>$F$77</f>
        <v>63.6</v>
      </c>
      <c r="W33" s="93">
        <f>$F$78</f>
        <v>39.200000000000003</v>
      </c>
      <c r="X33" s="93">
        <f>$F$79</f>
        <v>50.4</v>
      </c>
      <c r="Y33" s="93">
        <f>$F$80</f>
        <v>67.3</v>
      </c>
      <c r="Z33" s="93">
        <f>$F$81</f>
        <v>14.5</v>
      </c>
      <c r="AA33" s="93">
        <f>$F$82</f>
        <v>67.400000000000006</v>
      </c>
      <c r="AB33" s="93">
        <f>$F$83</f>
        <v>49.8</v>
      </c>
      <c r="AC33" s="93">
        <f>$F$84</f>
        <v>19.600000000000001</v>
      </c>
      <c r="AD33" s="171">
        <f>$F$85</f>
        <v>48.7</v>
      </c>
    </row>
    <row r="34" spans="2:30" x14ac:dyDescent="0.25">
      <c r="B34" s="82" t="s">
        <v>167</v>
      </c>
      <c r="C34" s="69">
        <v>432.6</v>
      </c>
      <c r="D34" s="69">
        <v>551.1</v>
      </c>
      <c r="E34" s="69">
        <v>455.4</v>
      </c>
      <c r="F34" s="69">
        <v>524.4</v>
      </c>
      <c r="G34" s="69">
        <v>471.6</v>
      </c>
      <c r="H34" s="83">
        <v>308.39999999999998</v>
      </c>
      <c r="K34" s="81"/>
      <c r="L34" s="170" t="s">
        <v>184</v>
      </c>
      <c r="M34" s="91" t="s">
        <v>163</v>
      </c>
      <c r="N34" s="92" t="str">
        <f t="shared" si="0"/>
        <v>Rest of Urban North Island 1 parent with dependent child(ren)</v>
      </c>
      <c r="O34" s="93">
        <f>$G$70</f>
        <v>146.19999999999999</v>
      </c>
      <c r="P34" s="93">
        <f>$G$71</f>
        <v>255.1</v>
      </c>
      <c r="Q34" s="93">
        <f>$G$72</f>
        <v>263.3</v>
      </c>
      <c r="R34" s="93">
        <f>$G$73</f>
        <v>27.1</v>
      </c>
      <c r="S34" s="93">
        <f>$G$74</f>
        <v>41.7</v>
      </c>
      <c r="T34" s="93">
        <f>$G$75</f>
        <v>31.8</v>
      </c>
      <c r="U34" s="93">
        <f>$G$76</f>
        <v>114.8</v>
      </c>
      <c r="V34" s="93">
        <f>$G$77</f>
        <v>42.8</v>
      </c>
      <c r="W34" s="93">
        <f>$G$78</f>
        <v>25.3</v>
      </c>
      <c r="X34" s="93">
        <f>$G$79</f>
        <v>44.1</v>
      </c>
      <c r="Y34" s="93">
        <f>$G$80</f>
        <v>42.2</v>
      </c>
      <c r="Z34" s="93">
        <f>$G$81</f>
        <v>10.9</v>
      </c>
      <c r="AA34" s="93">
        <f>$G$82</f>
        <v>17.399999999999999</v>
      </c>
      <c r="AB34" s="93">
        <f>$G$83</f>
        <v>37.799999999999997</v>
      </c>
      <c r="AC34" s="93">
        <f>$G$84</f>
        <v>13.9</v>
      </c>
      <c r="AD34" s="171">
        <f>$G$85</f>
        <v>29.6</v>
      </c>
    </row>
    <row r="35" spans="2:30" x14ac:dyDescent="0.25">
      <c r="B35" s="82" t="s">
        <v>168</v>
      </c>
      <c r="C35" s="69">
        <v>15.7</v>
      </c>
      <c r="D35" s="69">
        <v>40.299999999999997</v>
      </c>
      <c r="E35" s="69">
        <v>27.3</v>
      </c>
      <c r="F35" s="69">
        <v>47.1</v>
      </c>
      <c r="G35" s="69">
        <v>27.1</v>
      </c>
      <c r="H35" s="83">
        <v>10.4</v>
      </c>
      <c r="K35" s="81"/>
      <c r="L35" s="170" t="s">
        <v>184</v>
      </c>
      <c r="M35" s="91" t="s">
        <v>164</v>
      </c>
      <c r="N35" s="92" t="str">
        <f t="shared" si="0"/>
        <v>Rest of Urban North Island 1 person</v>
      </c>
      <c r="O35" s="93">
        <f>$H$70</f>
        <v>92.1</v>
      </c>
      <c r="P35" s="93">
        <f>$H$71</f>
        <v>192.9</v>
      </c>
      <c r="Q35" s="93">
        <f>$H$72</f>
        <v>182.4</v>
      </c>
      <c r="R35" s="93">
        <f>$H$73</f>
        <v>34.1</v>
      </c>
      <c r="S35" s="93">
        <f>$H$74</f>
        <v>29.2</v>
      </c>
      <c r="T35" s="93">
        <f>$H$75</f>
        <v>28.2</v>
      </c>
      <c r="U35" s="93">
        <f>$H$76</f>
        <v>42</v>
      </c>
      <c r="V35" s="93">
        <f>$H$77</f>
        <v>50.1</v>
      </c>
      <c r="W35" s="93">
        <f>$H$78</f>
        <v>21.4</v>
      </c>
      <c r="X35" s="93">
        <f>$H$79</f>
        <v>55.2</v>
      </c>
      <c r="Y35" s="93">
        <f>$H$80</f>
        <v>34</v>
      </c>
      <c r="Z35" s="93">
        <f>$H$81</f>
        <v>10.1</v>
      </c>
      <c r="AA35" s="93">
        <f>$H$82</f>
        <v>41.6</v>
      </c>
      <c r="AB35" s="93">
        <f>$H$83</f>
        <v>61</v>
      </c>
      <c r="AC35" s="93">
        <f>$H$84</f>
        <v>17.7</v>
      </c>
      <c r="AD35" s="171">
        <f>$H$85</f>
        <v>30.1</v>
      </c>
    </row>
    <row r="36" spans="2:30" x14ac:dyDescent="0.25">
      <c r="B36" s="82" t="s">
        <v>170</v>
      </c>
      <c r="C36" s="69">
        <v>44</v>
      </c>
      <c r="D36" s="69">
        <v>50.4</v>
      </c>
      <c r="E36" s="69">
        <v>50.1</v>
      </c>
      <c r="F36" s="69">
        <v>59.5</v>
      </c>
      <c r="G36" s="69">
        <v>40.1</v>
      </c>
      <c r="H36" s="83">
        <v>34.700000000000003</v>
      </c>
      <c r="K36" s="81"/>
      <c r="L36" s="172" t="s">
        <v>188</v>
      </c>
      <c r="M36" s="94" t="s">
        <v>159</v>
      </c>
      <c r="N36" s="95" t="str">
        <f t="shared" si="0"/>
        <v>Urban South Island Couple Only</v>
      </c>
      <c r="O36" s="55">
        <f>$C$89</f>
        <v>249.2</v>
      </c>
      <c r="P36" s="55">
        <f>$C$90</f>
        <v>268.10000000000002</v>
      </c>
      <c r="Q36" s="55">
        <f>$C$91</f>
        <v>436.9</v>
      </c>
      <c r="R36" s="55">
        <f>$C$92</f>
        <v>15.1</v>
      </c>
      <c r="S36" s="55">
        <f>$C$93</f>
        <v>46</v>
      </c>
      <c r="T36" s="55">
        <f>$C$94</f>
        <v>32.6</v>
      </c>
      <c r="U36" s="55">
        <f>$C$95</f>
        <v>87.9</v>
      </c>
      <c r="V36" s="55">
        <f>$C$96</f>
        <v>57.4</v>
      </c>
      <c r="W36" s="55">
        <f>$C$97</f>
        <v>30.1</v>
      </c>
      <c r="X36" s="55">
        <f>$C$98</f>
        <v>53.8</v>
      </c>
      <c r="Y36" s="55">
        <f>$C$99</f>
        <v>65.900000000000006</v>
      </c>
      <c r="Z36" s="55">
        <f>$C$100</f>
        <v>17.399999999999999</v>
      </c>
      <c r="AA36" s="55">
        <f>$C$101</f>
        <v>78.3</v>
      </c>
      <c r="AB36" s="55">
        <f>$C$102</f>
        <v>94.6</v>
      </c>
      <c r="AC36" s="55">
        <f>$C$103</f>
        <v>37.4</v>
      </c>
      <c r="AD36" s="173">
        <f>$C$104</f>
        <v>39.5</v>
      </c>
    </row>
    <row r="37" spans="2:30" x14ac:dyDescent="0.25">
      <c r="B37" s="82" t="s">
        <v>171</v>
      </c>
      <c r="C37" s="69">
        <v>33.4</v>
      </c>
      <c r="D37" s="69">
        <v>33.200000000000003</v>
      </c>
      <c r="E37" s="69">
        <v>34.799999999999997</v>
      </c>
      <c r="F37" s="69">
        <v>45</v>
      </c>
      <c r="G37" s="69">
        <v>28.3</v>
      </c>
      <c r="H37" s="83">
        <v>27.1</v>
      </c>
      <c r="K37" s="81"/>
      <c r="L37" s="172" t="s">
        <v>188</v>
      </c>
      <c r="M37" s="94" t="s">
        <v>160</v>
      </c>
      <c r="N37" s="95" t="str">
        <f t="shared" si="0"/>
        <v>Urban South Island Couple with 1 dependent child</v>
      </c>
      <c r="O37" s="55">
        <f>$D$89</f>
        <v>291.3</v>
      </c>
      <c r="P37" s="55">
        <f>$D$90</f>
        <v>365.3</v>
      </c>
      <c r="Q37" s="55">
        <f>$D$91</f>
        <v>404.7</v>
      </c>
      <c r="R37" s="55">
        <f>$D$92</f>
        <v>15.6</v>
      </c>
      <c r="S37" s="55">
        <f>$D$93</f>
        <v>56.6</v>
      </c>
      <c r="T37" s="55">
        <f>$D$94</f>
        <v>38.200000000000003</v>
      </c>
      <c r="U37" s="55">
        <f>$D$95</f>
        <v>74.599999999999994</v>
      </c>
      <c r="V37" s="55">
        <f>$D$96</f>
        <v>49.7</v>
      </c>
      <c r="W37" s="55">
        <f>$D$97</f>
        <v>27.3</v>
      </c>
      <c r="X37" s="55">
        <f>$D$98</f>
        <v>28.4</v>
      </c>
      <c r="Y37" s="55">
        <f>$D$99</f>
        <v>63.4</v>
      </c>
      <c r="Z37" s="55">
        <f>$D$100</f>
        <v>14.6</v>
      </c>
      <c r="AA37" s="55">
        <f>$D$101</f>
        <v>47.9</v>
      </c>
      <c r="AB37" s="55">
        <f>$D$102</f>
        <v>66.599999999999994</v>
      </c>
      <c r="AC37" s="55">
        <f>$D$103</f>
        <v>24.1</v>
      </c>
      <c r="AD37" s="173">
        <f>$D$104</f>
        <v>68.599999999999994</v>
      </c>
    </row>
    <row r="38" spans="2:30" x14ac:dyDescent="0.25">
      <c r="B38" s="82" t="s">
        <v>173</v>
      </c>
      <c r="C38" s="69">
        <v>86.4</v>
      </c>
      <c r="D38" s="69">
        <v>167.3</v>
      </c>
      <c r="E38" s="69">
        <v>103.5</v>
      </c>
      <c r="F38" s="69">
        <v>57.4</v>
      </c>
      <c r="G38" s="69">
        <v>36.6</v>
      </c>
      <c r="H38" s="83">
        <v>52.7</v>
      </c>
      <c r="K38" s="81"/>
      <c r="L38" s="172" t="s">
        <v>188</v>
      </c>
      <c r="M38" s="94" t="s">
        <v>161</v>
      </c>
      <c r="N38" s="95" t="str">
        <f t="shared" si="0"/>
        <v>Urban South Island Couple with 2 dependent children</v>
      </c>
      <c r="O38" s="55">
        <f>$E$89</f>
        <v>335.3</v>
      </c>
      <c r="P38" s="55">
        <f>$E$90</f>
        <v>347</v>
      </c>
      <c r="Q38" s="55">
        <f>$E$91</f>
        <v>357.5</v>
      </c>
      <c r="R38" s="55">
        <f>$E$92</f>
        <v>23.4</v>
      </c>
      <c r="S38" s="55">
        <f>$E$93</f>
        <v>58.7</v>
      </c>
      <c r="T38" s="55">
        <f>$E$94</f>
        <v>41.6</v>
      </c>
      <c r="U38" s="55">
        <f>$E$95</f>
        <v>122.6</v>
      </c>
      <c r="V38" s="55">
        <f>$E$96</f>
        <v>76.2</v>
      </c>
      <c r="W38" s="55">
        <f>$E$97</f>
        <v>39.799999999999997</v>
      </c>
      <c r="X38" s="55">
        <f>$E$98</f>
        <v>55.7</v>
      </c>
      <c r="Y38" s="55">
        <f>$E$99</f>
        <v>91.8</v>
      </c>
      <c r="Z38" s="55">
        <f>$E$100</f>
        <v>25.4</v>
      </c>
      <c r="AA38" s="55">
        <f>$E$101</f>
        <v>39.5</v>
      </c>
      <c r="AB38" s="55">
        <f>$E$102</f>
        <v>94.5</v>
      </c>
      <c r="AC38" s="55">
        <f>$E$103</f>
        <v>22</v>
      </c>
      <c r="AD38" s="173">
        <f>$E$104</f>
        <v>39.4</v>
      </c>
    </row>
    <row r="39" spans="2:30" x14ac:dyDescent="0.25">
      <c r="B39" s="82" t="s">
        <v>174</v>
      </c>
      <c r="C39" s="69">
        <v>62.2</v>
      </c>
      <c r="D39" s="69">
        <v>57.2</v>
      </c>
      <c r="E39" s="69">
        <v>61.8</v>
      </c>
      <c r="F39" s="69">
        <v>38.200000000000003</v>
      </c>
      <c r="G39" s="69">
        <v>36.9</v>
      </c>
      <c r="H39" s="83">
        <v>48.4</v>
      </c>
      <c r="K39" s="81"/>
      <c r="L39" s="172" t="s">
        <v>188</v>
      </c>
      <c r="M39" s="94" t="s">
        <v>162</v>
      </c>
      <c r="N39" s="95" t="str">
        <f t="shared" si="0"/>
        <v>Urban South Island Couple with 3 dependent children</v>
      </c>
      <c r="O39" s="55">
        <f>$F$89</f>
        <v>276.10000000000002</v>
      </c>
      <c r="P39" s="55">
        <f>$F$90</f>
        <v>260.89999999999998</v>
      </c>
      <c r="Q39" s="55">
        <f>$F$91</f>
        <v>377</v>
      </c>
      <c r="R39" s="55">
        <f>$F$92</f>
        <v>38.1</v>
      </c>
      <c r="S39" s="55">
        <f>$F$93</f>
        <v>57.5</v>
      </c>
      <c r="T39" s="55">
        <f>$F$94</f>
        <v>42</v>
      </c>
      <c r="U39" s="55">
        <f>$F$95</f>
        <v>159.5</v>
      </c>
      <c r="V39" s="55">
        <f>$F$96</f>
        <v>46.9</v>
      </c>
      <c r="W39" s="55">
        <f>$F$97</f>
        <v>30.3</v>
      </c>
      <c r="X39" s="55">
        <f>$F$98</f>
        <v>34.9</v>
      </c>
      <c r="Y39" s="55">
        <f>$F$99</f>
        <v>44.4</v>
      </c>
      <c r="Z39" s="55">
        <f>$F$100</f>
        <v>12.8</v>
      </c>
      <c r="AA39" s="55">
        <f>$F$101</f>
        <v>44.6</v>
      </c>
      <c r="AB39" s="55">
        <f>$F$102</f>
        <v>28.3</v>
      </c>
      <c r="AC39" s="55">
        <f>$F$103</f>
        <v>49.2</v>
      </c>
      <c r="AD39" s="173">
        <f>$F$104</f>
        <v>46.8</v>
      </c>
    </row>
    <row r="40" spans="2:30" x14ac:dyDescent="0.25">
      <c r="B40" s="82" t="s">
        <v>175</v>
      </c>
      <c r="C40" s="69">
        <v>30.3</v>
      </c>
      <c r="D40" s="69">
        <v>28.5</v>
      </c>
      <c r="E40" s="69">
        <v>28.6</v>
      </c>
      <c r="F40" s="69">
        <v>39.799999999999997</v>
      </c>
      <c r="G40" s="69">
        <v>21.9</v>
      </c>
      <c r="H40" s="83">
        <v>21.3</v>
      </c>
      <c r="K40" s="81"/>
      <c r="L40" s="172" t="s">
        <v>188</v>
      </c>
      <c r="M40" s="94" t="s">
        <v>163</v>
      </c>
      <c r="N40" s="95" t="str">
        <f t="shared" si="0"/>
        <v>Urban South Island 1 parent with dependent child(ren)</v>
      </c>
      <c r="O40" s="55">
        <f>$G$89</f>
        <v>175.5</v>
      </c>
      <c r="P40" s="55">
        <f>$G$90</f>
        <v>288</v>
      </c>
      <c r="Q40" s="55">
        <f>$G$91</f>
        <v>258</v>
      </c>
      <c r="R40" s="55">
        <f>$G$92</f>
        <v>27</v>
      </c>
      <c r="S40" s="55">
        <f>$G$93</f>
        <v>41.9</v>
      </c>
      <c r="T40" s="55">
        <f>$G$94</f>
        <v>33</v>
      </c>
      <c r="U40" s="55">
        <f>$G$95</f>
        <v>76.7</v>
      </c>
      <c r="V40" s="55">
        <f>$G$96</f>
        <v>46.2</v>
      </c>
      <c r="W40" s="55">
        <f>$G$97</f>
        <v>23.5</v>
      </c>
      <c r="X40" s="55">
        <f>$G$98</f>
        <v>64.2</v>
      </c>
      <c r="Y40" s="55">
        <f>$G$99</f>
        <v>51.3</v>
      </c>
      <c r="Z40" s="55">
        <f>$G$100</f>
        <v>11.8</v>
      </c>
      <c r="AA40" s="55">
        <f>$G$101</f>
        <v>28.1</v>
      </c>
      <c r="AB40" s="55">
        <f>$G$102</f>
        <v>64.599999999999994</v>
      </c>
      <c r="AC40" s="55">
        <f>$G$103</f>
        <v>8.3000000000000007</v>
      </c>
      <c r="AD40" s="173">
        <f>$G$104</f>
        <v>30.9</v>
      </c>
    </row>
    <row r="41" spans="2:30" x14ac:dyDescent="0.25">
      <c r="B41" s="82" t="s">
        <v>176</v>
      </c>
      <c r="C41" s="69">
        <v>76.2</v>
      </c>
      <c r="D41" s="69">
        <v>48.6</v>
      </c>
      <c r="E41" s="69">
        <v>47.9</v>
      </c>
      <c r="F41" s="69">
        <v>29</v>
      </c>
      <c r="G41" s="69">
        <v>44.1</v>
      </c>
      <c r="H41" s="83">
        <v>51.2</v>
      </c>
      <c r="K41" s="81"/>
      <c r="L41" s="172" t="s">
        <v>188</v>
      </c>
      <c r="M41" s="94" t="s">
        <v>164</v>
      </c>
      <c r="N41" s="95" t="str">
        <f t="shared" si="0"/>
        <v>Urban South Island 1 person</v>
      </c>
      <c r="O41" s="55">
        <f>$H$89</f>
        <v>105.7</v>
      </c>
      <c r="P41" s="55">
        <f>$H$90</f>
        <v>199.2</v>
      </c>
      <c r="Q41" s="55">
        <f>$H$91</f>
        <v>291</v>
      </c>
      <c r="R41" s="55">
        <f>$H$92</f>
        <v>33.200000000000003</v>
      </c>
      <c r="S41" s="55">
        <f>$H$93</f>
        <v>28.5</v>
      </c>
      <c r="T41" s="55">
        <f>$H$94</f>
        <v>26.7</v>
      </c>
      <c r="U41" s="55">
        <f>$H$95</f>
        <v>46.8</v>
      </c>
      <c r="V41" s="55">
        <f>$H$96</f>
        <v>48.4</v>
      </c>
      <c r="W41" s="55">
        <f>$H$97</f>
        <v>26.5</v>
      </c>
      <c r="X41" s="55">
        <f>$H$98</f>
        <v>37.6</v>
      </c>
      <c r="Y41" s="55">
        <f>$H$99</f>
        <v>43.2</v>
      </c>
      <c r="Z41" s="55">
        <f>$H$100</f>
        <v>10.3</v>
      </c>
      <c r="AA41" s="55">
        <f>$H$101</f>
        <v>39</v>
      </c>
      <c r="AB41" s="55">
        <f>$H$102</f>
        <v>99.6</v>
      </c>
      <c r="AC41" s="55">
        <f>$H$103</f>
        <v>16.600000000000001</v>
      </c>
      <c r="AD41" s="173">
        <f>$H$104</f>
        <v>26.3</v>
      </c>
    </row>
    <row r="42" spans="2:30" x14ac:dyDescent="0.25">
      <c r="B42" s="82" t="s">
        <v>177</v>
      </c>
      <c r="C42" s="69">
        <v>68.8</v>
      </c>
      <c r="D42" s="69">
        <v>44.6</v>
      </c>
      <c r="E42" s="69">
        <v>87.5</v>
      </c>
      <c r="F42" s="69">
        <v>118.4</v>
      </c>
      <c r="G42" s="69">
        <v>42.9</v>
      </c>
      <c r="H42" s="83">
        <v>46.4</v>
      </c>
      <c r="K42" s="81"/>
      <c r="L42" s="168" t="s">
        <v>189</v>
      </c>
      <c r="M42" s="85" t="s">
        <v>159</v>
      </c>
      <c r="N42" s="86" t="str">
        <f t="shared" si="0"/>
        <v>Rural Couple Only</v>
      </c>
      <c r="O42" s="87">
        <f>$C$108</f>
        <v>233.9</v>
      </c>
      <c r="P42" s="87">
        <f>$C$109</f>
        <v>233.8</v>
      </c>
      <c r="Q42" s="87">
        <f>$C$110</f>
        <v>452.7</v>
      </c>
      <c r="R42" s="87">
        <f>$C$111</f>
        <v>34.4</v>
      </c>
      <c r="S42" s="87">
        <f>$C$112</f>
        <v>50</v>
      </c>
      <c r="T42" s="87">
        <f>$C$113</f>
        <v>34.799999999999997</v>
      </c>
      <c r="U42" s="87">
        <f>$C$114</f>
        <v>87.8</v>
      </c>
      <c r="V42" s="87">
        <f>$C$115</f>
        <v>52.3</v>
      </c>
      <c r="W42" s="87">
        <f>$C$116</f>
        <v>31.3</v>
      </c>
      <c r="X42" s="87">
        <f>$C$117</f>
        <v>73.599999999999994</v>
      </c>
      <c r="Y42" s="87">
        <f>$C$118</f>
        <v>84.1</v>
      </c>
      <c r="Z42" s="87">
        <f>$C$119</f>
        <v>16.899999999999999</v>
      </c>
      <c r="AA42" s="87">
        <f>$C$120</f>
        <v>75.7</v>
      </c>
      <c r="AB42" s="87">
        <f>$C$121</f>
        <v>86.1</v>
      </c>
      <c r="AC42" s="87">
        <f>$C$122</f>
        <v>38.6</v>
      </c>
      <c r="AD42" s="169">
        <f>$C$123</f>
        <v>46.5</v>
      </c>
    </row>
    <row r="43" spans="2:30" x14ac:dyDescent="0.25">
      <c r="B43" s="82" t="s">
        <v>178</v>
      </c>
      <c r="C43" s="69">
        <v>23.5</v>
      </c>
      <c r="D43" s="69">
        <v>16.600000000000001</v>
      </c>
      <c r="E43" s="69">
        <v>14.8</v>
      </c>
      <c r="F43" s="69">
        <v>25.5</v>
      </c>
      <c r="G43" s="69">
        <v>11</v>
      </c>
      <c r="H43" s="83">
        <v>10.6</v>
      </c>
      <c r="K43" s="81"/>
      <c r="L43" s="168" t="s">
        <v>189</v>
      </c>
      <c r="M43" s="85" t="s">
        <v>160</v>
      </c>
      <c r="N43" s="86" t="str">
        <f t="shared" si="0"/>
        <v>Rural Couple with 1 dependent child</v>
      </c>
      <c r="O43" s="87">
        <f>$D$108</f>
        <v>257.3</v>
      </c>
      <c r="P43" s="87">
        <f>$D$109</f>
        <v>136.80000000000001</v>
      </c>
      <c r="Q43" s="87">
        <f>$D$110</f>
        <v>433.6</v>
      </c>
      <c r="R43" s="87">
        <f>$D$111</f>
        <v>37.299999999999997</v>
      </c>
      <c r="S43" s="87">
        <f>$D$112</f>
        <v>49.3</v>
      </c>
      <c r="T43" s="87">
        <f>$D$113</f>
        <v>30.4</v>
      </c>
      <c r="U43" s="87">
        <f>$D$114</f>
        <v>84.8</v>
      </c>
      <c r="V43" s="87">
        <f>$D$115</f>
        <v>53.4</v>
      </c>
      <c r="W43" s="87">
        <f>$D$116</f>
        <v>26.6</v>
      </c>
      <c r="X43" s="87">
        <f>$D$117</f>
        <v>20.9</v>
      </c>
      <c r="Y43" s="87">
        <f>$D$118</f>
        <v>99.4</v>
      </c>
      <c r="Z43" s="87">
        <f>$D$119</f>
        <v>18.3</v>
      </c>
      <c r="AA43" s="87">
        <f>$D$120</f>
        <v>42.7</v>
      </c>
      <c r="AB43" s="87">
        <f>$D$121</f>
        <v>40.4</v>
      </c>
      <c r="AC43" s="87">
        <f>$D$122</f>
        <v>22.6</v>
      </c>
      <c r="AD43" s="169">
        <f>$D$123</f>
        <v>62.2</v>
      </c>
    </row>
    <row r="44" spans="2:30" x14ac:dyDescent="0.25">
      <c r="B44" s="82" t="s">
        <v>180</v>
      </c>
      <c r="C44" s="69">
        <v>44</v>
      </c>
      <c r="D44" s="69">
        <v>41.3</v>
      </c>
      <c r="E44" s="69">
        <v>39.5</v>
      </c>
      <c r="F44" s="69">
        <v>67.400000000000006</v>
      </c>
      <c r="G44" s="69">
        <v>17.399999999999999</v>
      </c>
      <c r="H44" s="83">
        <v>45.2</v>
      </c>
      <c r="K44" s="81"/>
      <c r="L44" s="168" t="s">
        <v>189</v>
      </c>
      <c r="M44" s="85" t="s">
        <v>161</v>
      </c>
      <c r="N44" s="86" t="str">
        <f t="shared" si="0"/>
        <v>Rural Couple with 2 dependent children</v>
      </c>
      <c r="O44" s="87">
        <f>$E$108</f>
        <v>257.5</v>
      </c>
      <c r="P44" s="87">
        <f>$E$109</f>
        <v>199.9</v>
      </c>
      <c r="Q44" s="87">
        <f>$E$110</f>
        <v>426.7</v>
      </c>
      <c r="R44" s="87">
        <f>$E$111</f>
        <v>11.6</v>
      </c>
      <c r="S44" s="87">
        <f>$E$112</f>
        <v>62.5</v>
      </c>
      <c r="T44" s="87">
        <f>$E$113</f>
        <v>44.7</v>
      </c>
      <c r="U44" s="87">
        <f>$E$114</f>
        <v>110.1</v>
      </c>
      <c r="V44" s="87">
        <f>$E$115</f>
        <v>51.6</v>
      </c>
      <c r="W44" s="87">
        <f>$E$116</f>
        <v>30.5</v>
      </c>
      <c r="X44" s="87">
        <f>$E$117</f>
        <v>99.4</v>
      </c>
      <c r="Y44" s="87">
        <f>$E$118</f>
        <v>117.3</v>
      </c>
      <c r="Z44" s="87">
        <f>$E$119</f>
        <v>18.2</v>
      </c>
      <c r="AA44" s="87">
        <f>$E$120</f>
        <v>45.9</v>
      </c>
      <c r="AB44" s="87">
        <f>$E$121</f>
        <v>98.4</v>
      </c>
      <c r="AC44" s="87">
        <f>$E$122</f>
        <v>24.8</v>
      </c>
      <c r="AD44" s="169">
        <f>$E$123</f>
        <v>54.6</v>
      </c>
    </row>
    <row r="45" spans="2:30" x14ac:dyDescent="0.25">
      <c r="B45" s="82" t="s">
        <v>181</v>
      </c>
      <c r="C45" s="69">
        <v>73.3</v>
      </c>
      <c r="D45" s="69">
        <v>65</v>
      </c>
      <c r="E45" s="69">
        <v>47.2</v>
      </c>
      <c r="F45" s="69">
        <v>46.5</v>
      </c>
      <c r="G45" s="69">
        <v>41.9</v>
      </c>
      <c r="H45" s="83">
        <v>37.799999999999997</v>
      </c>
      <c r="K45" s="81"/>
      <c r="L45" s="168" t="s">
        <v>189</v>
      </c>
      <c r="M45" s="85" t="s">
        <v>162</v>
      </c>
      <c r="N45" s="86" t="str">
        <f t="shared" si="0"/>
        <v>Rural Couple with 3 dependent children</v>
      </c>
      <c r="O45" s="87">
        <f>$F$108</f>
        <v>358.4</v>
      </c>
      <c r="P45" s="87">
        <f>$F$109</f>
        <v>294.3</v>
      </c>
      <c r="Q45" s="87">
        <f>$F$110</f>
        <v>820.6</v>
      </c>
      <c r="R45" s="87">
        <f>$F$111</f>
        <v>20.3</v>
      </c>
      <c r="S45" s="87">
        <f>$F$112</f>
        <v>56.9</v>
      </c>
      <c r="T45" s="87">
        <f>$F$113</f>
        <v>36.6</v>
      </c>
      <c r="U45" s="87">
        <f>$F$114</f>
        <v>115</v>
      </c>
      <c r="V45" s="87">
        <f>$F$115</f>
        <v>38.299999999999997</v>
      </c>
      <c r="W45" s="87">
        <f>$F$116</f>
        <v>30.7</v>
      </c>
      <c r="X45" s="87">
        <f>$F$117</f>
        <v>56.1</v>
      </c>
      <c r="Y45" s="87">
        <f>$F$118</f>
        <v>107.7</v>
      </c>
      <c r="Z45" s="87">
        <f>$F$119</f>
        <v>14.9</v>
      </c>
      <c r="AA45" s="87">
        <f>$F$120</f>
        <v>37.700000000000003</v>
      </c>
      <c r="AB45" s="87">
        <f>$F$121</f>
        <v>81.599999999999994</v>
      </c>
      <c r="AC45" s="87">
        <f>$F$122</f>
        <v>28.8</v>
      </c>
      <c r="AD45" s="169">
        <f>$F$123</f>
        <v>56.5</v>
      </c>
    </row>
    <row r="46" spans="2:30" x14ac:dyDescent="0.25">
      <c r="B46" s="82" t="s">
        <v>182</v>
      </c>
      <c r="C46" s="69">
        <v>34.9</v>
      </c>
      <c r="D46" s="69">
        <v>16.600000000000001</v>
      </c>
      <c r="E46" s="69">
        <v>27.7</v>
      </c>
      <c r="F46" s="69">
        <v>29.7</v>
      </c>
      <c r="G46" s="69">
        <v>7.1</v>
      </c>
      <c r="H46" s="83">
        <v>16.8</v>
      </c>
      <c r="K46" s="81"/>
      <c r="L46" s="168" t="s">
        <v>189</v>
      </c>
      <c r="M46" s="85" t="s">
        <v>163</v>
      </c>
      <c r="N46" s="86" t="str">
        <f t="shared" si="0"/>
        <v>Rural 1 parent with dependent child(ren)</v>
      </c>
      <c r="O46" s="87">
        <f>$G$108</f>
        <v>155.9</v>
      </c>
      <c r="P46" s="87">
        <f>$G$109</f>
        <v>278.7</v>
      </c>
      <c r="Q46" s="87">
        <f>$G$110</f>
        <v>327.2</v>
      </c>
      <c r="R46" s="87">
        <f>$G$111</f>
        <v>28</v>
      </c>
      <c r="S46" s="87">
        <f>$G$112</f>
        <v>44.4</v>
      </c>
      <c r="T46" s="87">
        <f>$G$113</f>
        <v>27</v>
      </c>
      <c r="U46" s="87">
        <f>$G$114</f>
        <v>83.1</v>
      </c>
      <c r="V46" s="87">
        <f>$G$115</f>
        <v>32.1</v>
      </c>
      <c r="W46" s="87">
        <f>$G$116</f>
        <v>21.1</v>
      </c>
      <c r="X46" s="87">
        <f>$G$117</f>
        <v>64.2</v>
      </c>
      <c r="Y46" s="87">
        <f>$G$118</f>
        <v>60.5</v>
      </c>
      <c r="Z46" s="87">
        <f>$G$119</f>
        <v>9.1999999999999993</v>
      </c>
      <c r="AA46" s="87">
        <f>$G$120</f>
        <v>19.399999999999999</v>
      </c>
      <c r="AB46" s="87">
        <f>$G$121</f>
        <v>92.4</v>
      </c>
      <c r="AC46" s="87">
        <f>$G$122</f>
        <v>13.8</v>
      </c>
      <c r="AD46" s="169">
        <f>$G$123</f>
        <v>40.1</v>
      </c>
    </row>
    <row r="47" spans="2:30" ht="15.75" thickBot="1" x14ac:dyDescent="0.3">
      <c r="B47" s="88" t="s">
        <v>190</v>
      </c>
      <c r="C47" s="89">
        <v>38</v>
      </c>
      <c r="D47" s="89">
        <v>38.4</v>
      </c>
      <c r="E47" s="89">
        <v>40.9</v>
      </c>
      <c r="F47" s="89">
        <v>31.7</v>
      </c>
      <c r="G47" s="89">
        <v>14.6</v>
      </c>
      <c r="H47" s="90">
        <v>25</v>
      </c>
      <c r="K47" s="81"/>
      <c r="L47" s="174" t="s">
        <v>189</v>
      </c>
      <c r="M47" s="175" t="s">
        <v>164</v>
      </c>
      <c r="N47" s="176" t="str">
        <f t="shared" si="0"/>
        <v>Rural 1 person</v>
      </c>
      <c r="O47" s="177">
        <f>$H$108</f>
        <v>107.3</v>
      </c>
      <c r="P47" s="177">
        <f>$H$109</f>
        <v>193</v>
      </c>
      <c r="Q47" s="177">
        <f>$H$110</f>
        <v>311.8</v>
      </c>
      <c r="R47" s="177">
        <f>$H$111</f>
        <v>54.1</v>
      </c>
      <c r="S47" s="177">
        <f>$H$112</f>
        <v>35.6</v>
      </c>
      <c r="T47" s="177">
        <f>$H$113</f>
        <v>28.4</v>
      </c>
      <c r="U47" s="177">
        <f>$H$114</f>
        <v>87.5</v>
      </c>
      <c r="V47" s="177">
        <f>$H$115</f>
        <v>45.3</v>
      </c>
      <c r="W47" s="177">
        <f>$H$116</f>
        <v>24.7</v>
      </c>
      <c r="X47" s="177">
        <f>$H$117</f>
        <v>85.5</v>
      </c>
      <c r="Y47" s="177">
        <f>$H$118</f>
        <v>51.4</v>
      </c>
      <c r="Z47" s="177">
        <f>$H$119</f>
        <v>9.4</v>
      </c>
      <c r="AA47" s="177">
        <f>$H$120</f>
        <v>54.9</v>
      </c>
      <c r="AB47" s="177">
        <f>$H$121</f>
        <v>33</v>
      </c>
      <c r="AC47" s="177">
        <f>$H$122</f>
        <v>32.4</v>
      </c>
      <c r="AD47" s="178">
        <f>$H$123</f>
        <v>28.3</v>
      </c>
    </row>
    <row r="48" spans="2:30" ht="15.75" thickBot="1" x14ac:dyDescent="0.3"/>
    <row r="49" spans="2:8" x14ac:dyDescent="0.25">
      <c r="B49" s="70" t="s">
        <v>179</v>
      </c>
      <c r="C49" s="668" t="s">
        <v>155</v>
      </c>
      <c r="D49" s="668"/>
      <c r="E49" s="668"/>
      <c r="F49" s="668"/>
      <c r="G49" s="668"/>
      <c r="H49" s="669"/>
    </row>
    <row r="50" spans="2:8" ht="45.75" thickBot="1" x14ac:dyDescent="0.3">
      <c r="B50" s="96"/>
      <c r="C50" s="97" t="s">
        <v>159</v>
      </c>
      <c r="D50" s="97" t="s">
        <v>160</v>
      </c>
      <c r="E50" s="97" t="s">
        <v>185</v>
      </c>
      <c r="F50" s="97" t="s">
        <v>186</v>
      </c>
      <c r="G50" s="97" t="s">
        <v>169</v>
      </c>
      <c r="H50" s="98" t="s">
        <v>187</v>
      </c>
    </row>
    <row r="51" spans="2:8" x14ac:dyDescent="0.25">
      <c r="B51" s="78" t="s">
        <v>165</v>
      </c>
      <c r="C51" s="79">
        <v>282.7</v>
      </c>
      <c r="D51" s="79">
        <v>317.7</v>
      </c>
      <c r="E51" s="79">
        <v>373.9</v>
      </c>
      <c r="F51" s="79">
        <v>435.2</v>
      </c>
      <c r="G51" s="79">
        <v>222.7</v>
      </c>
      <c r="H51" s="80">
        <v>116.6</v>
      </c>
    </row>
    <row r="52" spans="2:8" x14ac:dyDescent="0.25">
      <c r="B52" s="82" t="s">
        <v>166</v>
      </c>
      <c r="C52" s="69">
        <v>297.3</v>
      </c>
      <c r="D52" s="69">
        <v>303.5</v>
      </c>
      <c r="E52" s="69">
        <v>465.1</v>
      </c>
      <c r="F52" s="69">
        <v>267.5</v>
      </c>
      <c r="G52" s="69">
        <v>258.89999999999998</v>
      </c>
      <c r="H52" s="83">
        <v>221.3</v>
      </c>
    </row>
    <row r="53" spans="2:8" x14ac:dyDescent="0.25">
      <c r="B53" s="82" t="s">
        <v>167</v>
      </c>
      <c r="C53" s="69">
        <v>489</v>
      </c>
      <c r="D53" s="69">
        <v>591</v>
      </c>
      <c r="E53" s="69">
        <v>498.1</v>
      </c>
      <c r="F53" s="69">
        <v>542.70000000000005</v>
      </c>
      <c r="G53" s="69">
        <v>349.1</v>
      </c>
      <c r="H53" s="83">
        <v>368.2</v>
      </c>
    </row>
    <row r="54" spans="2:8" x14ac:dyDescent="0.25">
      <c r="B54" s="82" t="s">
        <v>168</v>
      </c>
      <c r="C54" s="69">
        <v>32.299999999999997</v>
      </c>
      <c r="D54" s="69">
        <v>21.3</v>
      </c>
      <c r="E54" s="69">
        <v>41.1</v>
      </c>
      <c r="F54" s="69">
        <v>42.8</v>
      </c>
      <c r="G54" s="69">
        <v>27.1</v>
      </c>
      <c r="H54" s="83">
        <v>25</v>
      </c>
    </row>
    <row r="55" spans="2:8" x14ac:dyDescent="0.25">
      <c r="B55" s="82" t="s">
        <v>170</v>
      </c>
      <c r="C55" s="69">
        <v>46.1</v>
      </c>
      <c r="D55" s="69">
        <v>56</v>
      </c>
      <c r="E55" s="69">
        <v>57.7</v>
      </c>
      <c r="F55" s="69">
        <v>62.8</v>
      </c>
      <c r="G55" s="69">
        <v>37.5</v>
      </c>
      <c r="H55" s="83">
        <v>29.9</v>
      </c>
    </row>
    <row r="56" spans="2:8" x14ac:dyDescent="0.25">
      <c r="B56" s="82" t="s">
        <v>171</v>
      </c>
      <c r="C56" s="69">
        <v>40.200000000000003</v>
      </c>
      <c r="D56" s="69">
        <v>36.299999999999997</v>
      </c>
      <c r="E56" s="69">
        <v>43.8</v>
      </c>
      <c r="F56" s="69">
        <v>44.2</v>
      </c>
      <c r="G56" s="69">
        <v>27.4</v>
      </c>
      <c r="H56" s="83">
        <v>30.3</v>
      </c>
    </row>
    <row r="57" spans="2:8" x14ac:dyDescent="0.25">
      <c r="B57" s="82" t="s">
        <v>173</v>
      </c>
      <c r="C57" s="69">
        <v>123.9</v>
      </c>
      <c r="D57" s="69">
        <v>106.5</v>
      </c>
      <c r="E57" s="69">
        <v>147.30000000000001</v>
      </c>
      <c r="F57" s="69">
        <v>170.2</v>
      </c>
      <c r="G57" s="69">
        <v>29</v>
      </c>
      <c r="H57" s="83">
        <v>130.9</v>
      </c>
    </row>
    <row r="58" spans="2:8" x14ac:dyDescent="0.25">
      <c r="B58" s="82" t="s">
        <v>174</v>
      </c>
      <c r="C58" s="69">
        <v>70.400000000000006</v>
      </c>
      <c r="D58" s="69">
        <v>53.4</v>
      </c>
      <c r="E58" s="69">
        <v>73.900000000000006</v>
      </c>
      <c r="F58" s="69">
        <v>78.7</v>
      </c>
      <c r="G58" s="69">
        <v>51.1</v>
      </c>
      <c r="H58" s="83">
        <v>52.6</v>
      </c>
    </row>
    <row r="59" spans="2:8" x14ac:dyDescent="0.25">
      <c r="B59" s="82" t="s">
        <v>175</v>
      </c>
      <c r="C59" s="69">
        <v>37.5</v>
      </c>
      <c r="D59" s="69">
        <v>45.9</v>
      </c>
      <c r="E59" s="69">
        <v>38.1</v>
      </c>
      <c r="F59" s="69">
        <v>43.8</v>
      </c>
      <c r="G59" s="69">
        <v>24.4</v>
      </c>
      <c r="H59" s="83">
        <v>28.2</v>
      </c>
    </row>
    <row r="60" spans="2:8" x14ac:dyDescent="0.25">
      <c r="B60" s="82" t="s">
        <v>176</v>
      </c>
      <c r="C60" s="69">
        <v>142.1</v>
      </c>
      <c r="D60" s="69">
        <v>167.3</v>
      </c>
      <c r="E60" s="69">
        <v>49.9</v>
      </c>
      <c r="F60" s="69">
        <v>50.4</v>
      </c>
      <c r="G60" s="69">
        <v>44.1</v>
      </c>
      <c r="H60" s="83">
        <v>63.1</v>
      </c>
    </row>
    <row r="61" spans="2:8" x14ac:dyDescent="0.25">
      <c r="B61" s="82" t="s">
        <v>177</v>
      </c>
      <c r="C61" s="69">
        <v>77.8</v>
      </c>
      <c r="D61" s="69">
        <v>59.9</v>
      </c>
      <c r="E61" s="69">
        <v>85.2</v>
      </c>
      <c r="F61" s="69">
        <v>106.8</v>
      </c>
      <c r="G61" s="69">
        <v>69.3</v>
      </c>
      <c r="H61" s="83">
        <v>31.7</v>
      </c>
    </row>
    <row r="62" spans="2:8" x14ac:dyDescent="0.25">
      <c r="B62" s="82" t="s">
        <v>178</v>
      </c>
      <c r="C62" s="69">
        <v>18.899999999999999</v>
      </c>
      <c r="D62" s="69">
        <v>18.8</v>
      </c>
      <c r="E62" s="69">
        <v>17</v>
      </c>
      <c r="F62" s="69">
        <v>20.7</v>
      </c>
      <c r="G62" s="69">
        <v>8.9</v>
      </c>
      <c r="H62" s="83">
        <v>12.9</v>
      </c>
    </row>
    <row r="63" spans="2:8" x14ac:dyDescent="0.25">
      <c r="B63" s="82" t="s">
        <v>180</v>
      </c>
      <c r="C63" s="69">
        <v>67.400000000000006</v>
      </c>
      <c r="D63" s="69">
        <v>38</v>
      </c>
      <c r="E63" s="69">
        <v>46</v>
      </c>
      <c r="F63" s="69">
        <v>67.400000000000006</v>
      </c>
      <c r="G63" s="69">
        <v>17.399999999999999</v>
      </c>
      <c r="H63" s="83">
        <v>29.3</v>
      </c>
    </row>
    <row r="64" spans="2:8" x14ac:dyDescent="0.25">
      <c r="B64" s="82" t="s">
        <v>181</v>
      </c>
      <c r="C64" s="69">
        <v>66.7</v>
      </c>
      <c r="D64" s="69">
        <v>90.9</v>
      </c>
      <c r="E64" s="69">
        <v>70.599999999999994</v>
      </c>
      <c r="F64" s="69">
        <v>109.9</v>
      </c>
      <c r="G64" s="69">
        <v>32.5</v>
      </c>
      <c r="H64" s="83">
        <v>34.6</v>
      </c>
    </row>
    <row r="65" spans="2:8" x14ac:dyDescent="0.25">
      <c r="B65" s="82" t="s">
        <v>182</v>
      </c>
      <c r="C65" s="69">
        <v>32.799999999999997</v>
      </c>
      <c r="D65" s="69">
        <v>30.2</v>
      </c>
      <c r="E65" s="69">
        <v>38.299999999999997</v>
      </c>
      <c r="F65" s="69">
        <v>36.1</v>
      </c>
      <c r="G65" s="69">
        <v>10.1</v>
      </c>
      <c r="H65" s="83">
        <v>14.2</v>
      </c>
    </row>
    <row r="66" spans="2:8" ht="15.75" thickBot="1" x14ac:dyDescent="0.3">
      <c r="B66" s="88" t="s">
        <v>190</v>
      </c>
      <c r="C66" s="89">
        <v>36.700000000000003</v>
      </c>
      <c r="D66" s="89">
        <v>35.200000000000003</v>
      </c>
      <c r="E66" s="89">
        <v>51.1</v>
      </c>
      <c r="F66" s="89">
        <v>48.3</v>
      </c>
      <c r="G66" s="89">
        <v>20.6</v>
      </c>
      <c r="H66" s="90">
        <v>31.8</v>
      </c>
    </row>
    <row r="67" spans="2:8" ht="15.75" thickBot="1" x14ac:dyDescent="0.3"/>
    <row r="68" spans="2:8" x14ac:dyDescent="0.25">
      <c r="B68" s="70" t="s">
        <v>184</v>
      </c>
      <c r="C68" s="668" t="s">
        <v>155</v>
      </c>
      <c r="D68" s="668"/>
      <c r="E68" s="668"/>
      <c r="F68" s="668"/>
      <c r="G68" s="668"/>
      <c r="H68" s="669"/>
    </row>
    <row r="69" spans="2:8" ht="45.75" thickBot="1" x14ac:dyDescent="0.3">
      <c r="B69" s="96"/>
      <c r="C69" s="97" t="s">
        <v>159</v>
      </c>
      <c r="D69" s="97" t="s">
        <v>160</v>
      </c>
      <c r="E69" s="97" t="s">
        <v>185</v>
      </c>
      <c r="F69" s="97" t="s">
        <v>186</v>
      </c>
      <c r="G69" s="97" t="s">
        <v>169</v>
      </c>
      <c r="H69" s="98" t="s">
        <v>187</v>
      </c>
    </row>
    <row r="70" spans="2:8" x14ac:dyDescent="0.25">
      <c r="B70" s="78" t="s">
        <v>165</v>
      </c>
      <c r="C70" s="79">
        <v>206</v>
      </c>
      <c r="D70" s="79">
        <v>330.8</v>
      </c>
      <c r="E70" s="79">
        <v>329.1</v>
      </c>
      <c r="F70" s="79">
        <v>323.3</v>
      </c>
      <c r="G70" s="79">
        <v>146.19999999999999</v>
      </c>
      <c r="H70" s="80">
        <v>92.1</v>
      </c>
    </row>
    <row r="71" spans="2:8" x14ac:dyDescent="0.25">
      <c r="B71" s="82" t="s">
        <v>166</v>
      </c>
      <c r="C71" s="69">
        <v>240.9</v>
      </c>
      <c r="D71" s="69">
        <v>285.2</v>
      </c>
      <c r="E71" s="69">
        <v>243.6</v>
      </c>
      <c r="F71" s="69">
        <v>275.10000000000002</v>
      </c>
      <c r="G71" s="69">
        <v>255.1</v>
      </c>
      <c r="H71" s="83">
        <v>192.9</v>
      </c>
    </row>
    <row r="72" spans="2:8" x14ac:dyDescent="0.25">
      <c r="B72" s="82" t="s">
        <v>167</v>
      </c>
      <c r="C72" s="69">
        <v>343.9</v>
      </c>
      <c r="D72" s="69">
        <v>439</v>
      </c>
      <c r="E72" s="69">
        <v>311</v>
      </c>
      <c r="F72" s="69">
        <v>439.8</v>
      </c>
      <c r="G72" s="69">
        <v>263.3</v>
      </c>
      <c r="H72" s="83">
        <v>182.4</v>
      </c>
    </row>
    <row r="73" spans="2:8" x14ac:dyDescent="0.25">
      <c r="B73" s="82" t="s">
        <v>168</v>
      </c>
      <c r="C73" s="69">
        <v>15.1</v>
      </c>
      <c r="D73" s="69">
        <v>40.299999999999997</v>
      </c>
      <c r="E73" s="69">
        <v>27.3</v>
      </c>
      <c r="F73" s="69">
        <v>47.1</v>
      </c>
      <c r="G73" s="69">
        <v>27.1</v>
      </c>
      <c r="H73" s="83">
        <v>34.1</v>
      </c>
    </row>
    <row r="74" spans="2:8" x14ac:dyDescent="0.25">
      <c r="B74" s="82" t="s">
        <v>170</v>
      </c>
      <c r="C74" s="69">
        <v>46</v>
      </c>
      <c r="D74" s="69">
        <v>65.3</v>
      </c>
      <c r="E74" s="69">
        <v>48.9</v>
      </c>
      <c r="F74" s="69">
        <v>56.5</v>
      </c>
      <c r="G74" s="69">
        <v>41.7</v>
      </c>
      <c r="H74" s="83">
        <v>29.2</v>
      </c>
    </row>
    <row r="75" spans="2:8" x14ac:dyDescent="0.25">
      <c r="B75" s="82" t="s">
        <v>171</v>
      </c>
      <c r="C75" s="69">
        <v>33.5</v>
      </c>
      <c r="D75" s="69">
        <v>38.799999999999997</v>
      </c>
      <c r="E75" s="69">
        <v>37.1</v>
      </c>
      <c r="F75" s="69">
        <v>36.9</v>
      </c>
      <c r="G75" s="69">
        <v>31.8</v>
      </c>
      <c r="H75" s="83">
        <v>28.2</v>
      </c>
    </row>
    <row r="76" spans="2:8" x14ac:dyDescent="0.25">
      <c r="B76" s="82" t="s">
        <v>173</v>
      </c>
      <c r="C76" s="69">
        <v>76.900000000000006</v>
      </c>
      <c r="D76" s="69">
        <v>108.6</v>
      </c>
      <c r="E76" s="69">
        <v>131.5</v>
      </c>
      <c r="F76" s="69">
        <v>22.7</v>
      </c>
      <c r="G76" s="69">
        <v>114.8</v>
      </c>
      <c r="H76" s="83">
        <v>42</v>
      </c>
    </row>
    <row r="77" spans="2:8" x14ac:dyDescent="0.25">
      <c r="B77" s="82" t="s">
        <v>174</v>
      </c>
      <c r="C77" s="69">
        <v>55.7</v>
      </c>
      <c r="D77" s="69">
        <v>63.7</v>
      </c>
      <c r="E77" s="69">
        <v>50</v>
      </c>
      <c r="F77" s="69">
        <v>63.6</v>
      </c>
      <c r="G77" s="69">
        <v>42.8</v>
      </c>
      <c r="H77" s="83">
        <v>50.1</v>
      </c>
    </row>
    <row r="78" spans="2:8" x14ac:dyDescent="0.25">
      <c r="B78" s="82" t="s">
        <v>175</v>
      </c>
      <c r="C78" s="69">
        <v>30.8</v>
      </c>
      <c r="D78" s="69">
        <v>36.299999999999997</v>
      </c>
      <c r="E78" s="69">
        <v>32.799999999999997</v>
      </c>
      <c r="F78" s="69">
        <v>39.200000000000003</v>
      </c>
      <c r="G78" s="69">
        <v>25.3</v>
      </c>
      <c r="H78" s="83">
        <v>21.4</v>
      </c>
    </row>
    <row r="79" spans="2:8" x14ac:dyDescent="0.25">
      <c r="B79" s="82" t="s">
        <v>176</v>
      </c>
      <c r="C79" s="69">
        <v>83.5</v>
      </c>
      <c r="D79" s="69">
        <v>105.4</v>
      </c>
      <c r="E79" s="69">
        <v>24.5</v>
      </c>
      <c r="F79" s="69">
        <v>50.4</v>
      </c>
      <c r="G79" s="69">
        <v>44.1</v>
      </c>
      <c r="H79" s="83">
        <v>55.2</v>
      </c>
    </row>
    <row r="80" spans="2:8" x14ac:dyDescent="0.25">
      <c r="B80" s="82" t="s">
        <v>177</v>
      </c>
      <c r="C80" s="69">
        <v>77.099999999999994</v>
      </c>
      <c r="D80" s="69">
        <v>62.8</v>
      </c>
      <c r="E80" s="69">
        <v>94.8</v>
      </c>
      <c r="F80" s="69">
        <v>67.3</v>
      </c>
      <c r="G80" s="69">
        <v>42.2</v>
      </c>
      <c r="H80" s="83">
        <v>34</v>
      </c>
    </row>
    <row r="81" spans="2:8" x14ac:dyDescent="0.25">
      <c r="B81" s="82" t="s">
        <v>178</v>
      </c>
      <c r="C81" s="69">
        <v>17.600000000000001</v>
      </c>
      <c r="D81" s="69">
        <v>15.1</v>
      </c>
      <c r="E81" s="69">
        <v>15.9</v>
      </c>
      <c r="F81" s="69">
        <v>14.5</v>
      </c>
      <c r="G81" s="69">
        <v>10.9</v>
      </c>
      <c r="H81" s="83">
        <v>10.1</v>
      </c>
    </row>
    <row r="82" spans="2:8" x14ac:dyDescent="0.25">
      <c r="B82" s="82" t="s">
        <v>180</v>
      </c>
      <c r="C82" s="69">
        <v>89.9</v>
      </c>
      <c r="D82" s="69">
        <v>43.6</v>
      </c>
      <c r="E82" s="69">
        <v>54.3</v>
      </c>
      <c r="F82" s="69">
        <v>67.400000000000006</v>
      </c>
      <c r="G82" s="69">
        <v>17.399999999999999</v>
      </c>
      <c r="H82" s="83">
        <v>41.6</v>
      </c>
    </row>
    <row r="83" spans="2:8" x14ac:dyDescent="0.25">
      <c r="B83" s="82" t="s">
        <v>181</v>
      </c>
      <c r="C83" s="69">
        <v>72.7</v>
      </c>
      <c r="D83" s="69">
        <v>126.1</v>
      </c>
      <c r="E83" s="69">
        <v>155.5</v>
      </c>
      <c r="F83" s="69">
        <v>49.8</v>
      </c>
      <c r="G83" s="69">
        <v>37.799999999999997</v>
      </c>
      <c r="H83" s="83">
        <v>61</v>
      </c>
    </row>
    <row r="84" spans="2:8" x14ac:dyDescent="0.25">
      <c r="B84" s="82" t="s">
        <v>182</v>
      </c>
      <c r="C84" s="69">
        <v>35.5</v>
      </c>
      <c r="D84" s="69">
        <v>45.3</v>
      </c>
      <c r="E84" s="69">
        <v>32.200000000000003</v>
      </c>
      <c r="F84" s="69">
        <v>19.600000000000001</v>
      </c>
      <c r="G84" s="69">
        <v>13.9</v>
      </c>
      <c r="H84" s="83">
        <v>17.7</v>
      </c>
    </row>
    <row r="85" spans="2:8" ht="15.75" thickBot="1" x14ac:dyDescent="0.3">
      <c r="B85" s="88" t="s">
        <v>190</v>
      </c>
      <c r="C85" s="89">
        <v>47.2</v>
      </c>
      <c r="D85" s="89">
        <v>46.9</v>
      </c>
      <c r="E85" s="89">
        <v>55.4</v>
      </c>
      <c r="F85" s="89">
        <v>48.7</v>
      </c>
      <c r="G85" s="89">
        <v>29.6</v>
      </c>
      <c r="H85" s="90">
        <v>30.1</v>
      </c>
    </row>
    <row r="86" spans="2:8" ht="15.75" thickBot="1" x14ac:dyDescent="0.3">
      <c r="E86" s="69"/>
    </row>
    <row r="87" spans="2:8" x14ac:dyDescent="0.25">
      <c r="B87" s="70" t="s">
        <v>188</v>
      </c>
      <c r="C87" s="668" t="s">
        <v>155</v>
      </c>
      <c r="D87" s="668"/>
      <c r="E87" s="668"/>
      <c r="F87" s="668"/>
      <c r="G87" s="668"/>
      <c r="H87" s="669"/>
    </row>
    <row r="88" spans="2:8" ht="45.75" thickBot="1" x14ac:dyDescent="0.3">
      <c r="B88" s="96"/>
      <c r="C88" s="97" t="s">
        <v>159</v>
      </c>
      <c r="D88" s="97" t="s">
        <v>160</v>
      </c>
      <c r="E88" s="97" t="s">
        <v>185</v>
      </c>
      <c r="F88" s="97" t="s">
        <v>186</v>
      </c>
      <c r="G88" s="97" t="s">
        <v>169</v>
      </c>
      <c r="H88" s="98" t="s">
        <v>187</v>
      </c>
    </row>
    <row r="89" spans="2:8" x14ac:dyDescent="0.25">
      <c r="B89" s="78" t="s">
        <v>165</v>
      </c>
      <c r="C89" s="79">
        <v>249.2</v>
      </c>
      <c r="D89" s="79">
        <v>291.3</v>
      </c>
      <c r="E89" s="79">
        <v>335.3</v>
      </c>
      <c r="F89" s="79">
        <v>276.10000000000002</v>
      </c>
      <c r="G89" s="79">
        <v>175.5</v>
      </c>
      <c r="H89" s="80">
        <v>105.7</v>
      </c>
    </row>
    <row r="90" spans="2:8" x14ac:dyDescent="0.25">
      <c r="B90" s="82" t="s">
        <v>166</v>
      </c>
      <c r="C90" s="69">
        <v>268.10000000000002</v>
      </c>
      <c r="D90" s="69">
        <v>365.3</v>
      </c>
      <c r="E90" s="69">
        <v>347</v>
      </c>
      <c r="F90" s="69">
        <v>260.89999999999998</v>
      </c>
      <c r="G90" s="69">
        <v>288</v>
      </c>
      <c r="H90" s="83">
        <v>199.2</v>
      </c>
    </row>
    <row r="91" spans="2:8" x14ac:dyDescent="0.25">
      <c r="B91" s="82" t="s">
        <v>167</v>
      </c>
      <c r="C91" s="69">
        <v>436.9</v>
      </c>
      <c r="D91" s="69">
        <v>404.7</v>
      </c>
      <c r="E91" s="69">
        <v>357.5</v>
      </c>
      <c r="F91" s="69">
        <v>377</v>
      </c>
      <c r="G91" s="69">
        <v>258</v>
      </c>
      <c r="H91" s="83">
        <v>291</v>
      </c>
    </row>
    <row r="92" spans="2:8" x14ac:dyDescent="0.25">
      <c r="B92" s="82" t="s">
        <v>168</v>
      </c>
      <c r="C92" s="69">
        <v>15.1</v>
      </c>
      <c r="D92" s="69">
        <v>15.6</v>
      </c>
      <c r="E92" s="69">
        <v>23.4</v>
      </c>
      <c r="F92" s="69">
        <v>38.1</v>
      </c>
      <c r="G92" s="69">
        <v>27</v>
      </c>
      <c r="H92" s="83">
        <v>33.200000000000003</v>
      </c>
    </row>
    <row r="93" spans="2:8" x14ac:dyDescent="0.25">
      <c r="B93" s="82" t="s">
        <v>170</v>
      </c>
      <c r="C93" s="69">
        <v>46</v>
      </c>
      <c r="D93" s="69">
        <v>56.6</v>
      </c>
      <c r="E93" s="69">
        <v>58.7</v>
      </c>
      <c r="F93" s="69">
        <v>57.5</v>
      </c>
      <c r="G93" s="69">
        <v>41.9</v>
      </c>
      <c r="H93" s="83">
        <v>28.5</v>
      </c>
    </row>
    <row r="94" spans="2:8" x14ac:dyDescent="0.25">
      <c r="B94" s="82" t="s">
        <v>171</v>
      </c>
      <c r="C94" s="69">
        <v>32.6</v>
      </c>
      <c r="D94" s="69">
        <v>38.200000000000003</v>
      </c>
      <c r="E94" s="69">
        <v>41.6</v>
      </c>
      <c r="F94" s="69">
        <v>42</v>
      </c>
      <c r="G94" s="69">
        <v>33</v>
      </c>
      <c r="H94" s="83">
        <v>26.7</v>
      </c>
    </row>
    <row r="95" spans="2:8" x14ac:dyDescent="0.25">
      <c r="B95" s="82" t="s">
        <v>173</v>
      </c>
      <c r="C95" s="69">
        <v>87.9</v>
      </c>
      <c r="D95" s="69">
        <v>74.599999999999994</v>
      </c>
      <c r="E95" s="69">
        <v>122.6</v>
      </c>
      <c r="F95" s="69">
        <v>159.5</v>
      </c>
      <c r="G95" s="69">
        <v>76.7</v>
      </c>
      <c r="H95" s="83">
        <v>46.8</v>
      </c>
    </row>
    <row r="96" spans="2:8" x14ac:dyDescent="0.25">
      <c r="B96" s="82" t="s">
        <v>174</v>
      </c>
      <c r="C96" s="69">
        <v>57.4</v>
      </c>
      <c r="D96" s="69">
        <v>49.7</v>
      </c>
      <c r="E96" s="69">
        <v>76.2</v>
      </c>
      <c r="F96" s="69">
        <v>46.9</v>
      </c>
      <c r="G96" s="69">
        <v>46.2</v>
      </c>
      <c r="H96" s="83">
        <v>48.4</v>
      </c>
    </row>
    <row r="97" spans="2:8" x14ac:dyDescent="0.25">
      <c r="B97" s="82" t="s">
        <v>175</v>
      </c>
      <c r="C97" s="69">
        <v>30.1</v>
      </c>
      <c r="D97" s="69">
        <v>27.3</v>
      </c>
      <c r="E97" s="69">
        <v>39.799999999999997</v>
      </c>
      <c r="F97" s="69">
        <v>30.3</v>
      </c>
      <c r="G97" s="69">
        <v>23.5</v>
      </c>
      <c r="H97" s="83">
        <v>26.5</v>
      </c>
    </row>
    <row r="98" spans="2:8" x14ac:dyDescent="0.25">
      <c r="B98" s="82" t="s">
        <v>176</v>
      </c>
      <c r="C98" s="69">
        <v>53.8</v>
      </c>
      <c r="D98" s="69">
        <v>28.4</v>
      </c>
      <c r="E98" s="69">
        <v>55.7</v>
      </c>
      <c r="F98" s="69">
        <v>34.9</v>
      </c>
      <c r="G98" s="69">
        <v>64.2</v>
      </c>
      <c r="H98" s="83">
        <v>37.6</v>
      </c>
    </row>
    <row r="99" spans="2:8" x14ac:dyDescent="0.25">
      <c r="B99" s="82" t="s">
        <v>177</v>
      </c>
      <c r="C99" s="69">
        <v>65.900000000000006</v>
      </c>
      <c r="D99" s="69">
        <v>63.4</v>
      </c>
      <c r="E99" s="69">
        <v>91.8</v>
      </c>
      <c r="F99" s="69">
        <v>44.4</v>
      </c>
      <c r="G99" s="69">
        <v>51.3</v>
      </c>
      <c r="H99" s="83">
        <v>43.2</v>
      </c>
    </row>
    <row r="100" spans="2:8" x14ac:dyDescent="0.25">
      <c r="B100" s="82" t="s">
        <v>178</v>
      </c>
      <c r="C100" s="69">
        <v>17.399999999999999</v>
      </c>
      <c r="D100" s="69">
        <v>14.6</v>
      </c>
      <c r="E100" s="69">
        <v>25.4</v>
      </c>
      <c r="F100" s="69">
        <v>12.8</v>
      </c>
      <c r="G100" s="69">
        <v>11.8</v>
      </c>
      <c r="H100" s="83">
        <v>10.3</v>
      </c>
    </row>
    <row r="101" spans="2:8" x14ac:dyDescent="0.25">
      <c r="B101" s="82" t="s">
        <v>180</v>
      </c>
      <c r="C101" s="69">
        <v>78.3</v>
      </c>
      <c r="D101" s="69">
        <v>47.9</v>
      </c>
      <c r="E101" s="69">
        <v>39.5</v>
      </c>
      <c r="F101" s="69">
        <v>44.6</v>
      </c>
      <c r="G101" s="69">
        <v>28.1</v>
      </c>
      <c r="H101" s="83">
        <v>39</v>
      </c>
    </row>
    <row r="102" spans="2:8" x14ac:dyDescent="0.25">
      <c r="B102" s="82" t="s">
        <v>181</v>
      </c>
      <c r="C102" s="69">
        <v>94.6</v>
      </c>
      <c r="D102" s="69">
        <v>66.599999999999994</v>
      </c>
      <c r="E102" s="69">
        <v>94.5</v>
      </c>
      <c r="F102" s="69">
        <v>28.3</v>
      </c>
      <c r="G102" s="69">
        <v>64.599999999999994</v>
      </c>
      <c r="H102" s="83">
        <v>99.6</v>
      </c>
    </row>
    <row r="103" spans="2:8" x14ac:dyDescent="0.25">
      <c r="B103" s="82" t="s">
        <v>182</v>
      </c>
      <c r="C103" s="69">
        <v>37.4</v>
      </c>
      <c r="D103" s="69">
        <v>24.1</v>
      </c>
      <c r="E103" s="69">
        <v>22</v>
      </c>
      <c r="F103" s="69">
        <v>49.2</v>
      </c>
      <c r="G103" s="69">
        <v>8.3000000000000007</v>
      </c>
      <c r="H103" s="83">
        <v>16.600000000000001</v>
      </c>
    </row>
    <row r="104" spans="2:8" ht="15.75" thickBot="1" x14ac:dyDescent="0.3">
      <c r="B104" s="88" t="s">
        <v>190</v>
      </c>
      <c r="C104" s="89">
        <v>39.5</v>
      </c>
      <c r="D104" s="89">
        <v>68.599999999999994</v>
      </c>
      <c r="E104" s="89">
        <v>39.4</v>
      </c>
      <c r="F104" s="89">
        <v>46.8</v>
      </c>
      <c r="G104" s="89">
        <v>30.9</v>
      </c>
      <c r="H104" s="90">
        <v>26.3</v>
      </c>
    </row>
    <row r="105" spans="2:8" ht="15.75" thickBot="1" x14ac:dyDescent="0.3"/>
    <row r="106" spans="2:8" x14ac:dyDescent="0.25">
      <c r="B106" s="70" t="s">
        <v>189</v>
      </c>
      <c r="C106" s="668" t="s">
        <v>155</v>
      </c>
      <c r="D106" s="668"/>
      <c r="E106" s="668"/>
      <c r="F106" s="668"/>
      <c r="G106" s="668"/>
      <c r="H106" s="669"/>
    </row>
    <row r="107" spans="2:8" ht="45.75" thickBot="1" x14ac:dyDescent="0.3">
      <c r="B107" s="96"/>
      <c r="C107" s="97" t="s">
        <v>159</v>
      </c>
      <c r="D107" s="97" t="s">
        <v>160</v>
      </c>
      <c r="E107" s="97" t="s">
        <v>185</v>
      </c>
      <c r="F107" s="97" t="s">
        <v>186</v>
      </c>
      <c r="G107" s="97" t="s">
        <v>169</v>
      </c>
      <c r="H107" s="98" t="s">
        <v>187</v>
      </c>
    </row>
    <row r="108" spans="2:8" x14ac:dyDescent="0.25">
      <c r="B108" s="78" t="s">
        <v>165</v>
      </c>
      <c r="C108" s="79">
        <v>233.9</v>
      </c>
      <c r="D108" s="79">
        <v>257.3</v>
      </c>
      <c r="E108" s="79">
        <v>257.5</v>
      </c>
      <c r="F108" s="79">
        <v>358.4</v>
      </c>
      <c r="G108" s="79">
        <v>155.9</v>
      </c>
      <c r="H108" s="80">
        <v>107.3</v>
      </c>
    </row>
    <row r="109" spans="2:8" x14ac:dyDescent="0.25">
      <c r="B109" s="82" t="s">
        <v>166</v>
      </c>
      <c r="C109" s="69">
        <v>233.8</v>
      </c>
      <c r="D109" s="69">
        <v>136.80000000000001</v>
      </c>
      <c r="E109" s="69">
        <v>199.9</v>
      </c>
      <c r="F109" s="69">
        <v>294.3</v>
      </c>
      <c r="G109" s="69">
        <v>278.7</v>
      </c>
      <c r="H109" s="83">
        <v>193</v>
      </c>
    </row>
    <row r="110" spans="2:8" x14ac:dyDescent="0.25">
      <c r="B110" s="82" t="s">
        <v>167</v>
      </c>
      <c r="C110" s="69">
        <v>452.7</v>
      </c>
      <c r="D110" s="69">
        <v>433.6</v>
      </c>
      <c r="E110" s="69">
        <v>426.7</v>
      </c>
      <c r="F110" s="69">
        <v>820.6</v>
      </c>
      <c r="G110" s="69">
        <v>327.2</v>
      </c>
      <c r="H110" s="83">
        <v>311.8</v>
      </c>
    </row>
    <row r="111" spans="2:8" x14ac:dyDescent="0.25">
      <c r="B111" s="82" t="s">
        <v>168</v>
      </c>
      <c r="C111" s="69">
        <v>34.4</v>
      </c>
      <c r="D111" s="69">
        <v>37.299999999999997</v>
      </c>
      <c r="E111" s="69">
        <v>11.6</v>
      </c>
      <c r="F111" s="69">
        <v>20.3</v>
      </c>
      <c r="G111" s="69">
        <v>28</v>
      </c>
      <c r="H111" s="83">
        <v>54.1</v>
      </c>
    </row>
    <row r="112" spans="2:8" x14ac:dyDescent="0.25">
      <c r="B112" s="82" t="s">
        <v>170</v>
      </c>
      <c r="C112" s="69">
        <v>50</v>
      </c>
      <c r="D112" s="69">
        <v>49.3</v>
      </c>
      <c r="E112" s="69">
        <v>62.5</v>
      </c>
      <c r="F112" s="69">
        <v>56.9</v>
      </c>
      <c r="G112" s="69">
        <v>44.4</v>
      </c>
      <c r="H112" s="83">
        <v>35.6</v>
      </c>
    </row>
    <row r="113" spans="2:8" x14ac:dyDescent="0.25">
      <c r="B113" s="82" t="s">
        <v>171</v>
      </c>
      <c r="C113" s="69">
        <v>34.799999999999997</v>
      </c>
      <c r="D113" s="69">
        <v>30.4</v>
      </c>
      <c r="E113" s="69">
        <v>44.7</v>
      </c>
      <c r="F113" s="69">
        <v>36.6</v>
      </c>
      <c r="G113" s="69">
        <v>27</v>
      </c>
      <c r="H113" s="83">
        <v>28.4</v>
      </c>
    </row>
    <row r="114" spans="2:8" x14ac:dyDescent="0.25">
      <c r="B114" s="82" t="s">
        <v>173</v>
      </c>
      <c r="C114" s="69">
        <v>87.8</v>
      </c>
      <c r="D114" s="69">
        <v>84.8</v>
      </c>
      <c r="E114" s="69">
        <v>110.1</v>
      </c>
      <c r="F114" s="69">
        <v>115</v>
      </c>
      <c r="G114" s="69">
        <v>83.1</v>
      </c>
      <c r="H114" s="83">
        <v>87.5</v>
      </c>
    </row>
    <row r="115" spans="2:8" x14ac:dyDescent="0.25">
      <c r="B115" s="82" t="s">
        <v>174</v>
      </c>
      <c r="C115" s="69">
        <v>52.3</v>
      </c>
      <c r="D115" s="69">
        <v>53.4</v>
      </c>
      <c r="E115" s="69">
        <v>51.6</v>
      </c>
      <c r="F115" s="69">
        <v>38.299999999999997</v>
      </c>
      <c r="G115" s="69">
        <v>32.1</v>
      </c>
      <c r="H115" s="83">
        <v>45.3</v>
      </c>
    </row>
    <row r="116" spans="2:8" x14ac:dyDescent="0.25">
      <c r="B116" s="82" t="s">
        <v>175</v>
      </c>
      <c r="C116" s="69">
        <v>31.3</v>
      </c>
      <c r="D116" s="69">
        <v>26.6</v>
      </c>
      <c r="E116" s="69">
        <v>30.5</v>
      </c>
      <c r="F116" s="69">
        <v>30.7</v>
      </c>
      <c r="G116" s="69">
        <v>21.1</v>
      </c>
      <c r="H116" s="83">
        <v>24.7</v>
      </c>
    </row>
    <row r="117" spans="2:8" x14ac:dyDescent="0.25">
      <c r="B117" s="82" t="s">
        <v>176</v>
      </c>
      <c r="C117" s="69">
        <v>73.599999999999994</v>
      </c>
      <c r="D117" s="69">
        <v>20.9</v>
      </c>
      <c r="E117" s="69">
        <v>99.4</v>
      </c>
      <c r="F117" s="69">
        <v>56.1</v>
      </c>
      <c r="G117" s="69">
        <v>64.2</v>
      </c>
      <c r="H117" s="83">
        <v>85.5</v>
      </c>
    </row>
    <row r="118" spans="2:8" x14ac:dyDescent="0.25">
      <c r="B118" s="82" t="s">
        <v>177</v>
      </c>
      <c r="C118" s="69">
        <v>84.1</v>
      </c>
      <c r="D118" s="69">
        <v>99.4</v>
      </c>
      <c r="E118" s="69">
        <v>117.3</v>
      </c>
      <c r="F118" s="69">
        <v>107.7</v>
      </c>
      <c r="G118" s="69">
        <v>60.5</v>
      </c>
      <c r="H118" s="83">
        <v>51.4</v>
      </c>
    </row>
    <row r="119" spans="2:8" x14ac:dyDescent="0.25">
      <c r="B119" s="82" t="s">
        <v>178</v>
      </c>
      <c r="C119" s="69">
        <v>16.899999999999999</v>
      </c>
      <c r="D119" s="69">
        <v>18.3</v>
      </c>
      <c r="E119" s="69">
        <v>18.2</v>
      </c>
      <c r="F119" s="69">
        <v>14.9</v>
      </c>
      <c r="G119" s="69">
        <v>9.1999999999999993</v>
      </c>
      <c r="H119" s="83">
        <v>9.4</v>
      </c>
    </row>
    <row r="120" spans="2:8" x14ac:dyDescent="0.25">
      <c r="B120" s="82" t="s">
        <v>180</v>
      </c>
      <c r="C120" s="69">
        <v>75.7</v>
      </c>
      <c r="D120" s="69">
        <v>42.7</v>
      </c>
      <c r="E120" s="69">
        <v>45.9</v>
      </c>
      <c r="F120" s="69">
        <v>37.700000000000003</v>
      </c>
      <c r="G120" s="69">
        <v>19.399999999999999</v>
      </c>
      <c r="H120" s="83">
        <v>54.9</v>
      </c>
    </row>
    <row r="121" spans="2:8" x14ac:dyDescent="0.25">
      <c r="B121" s="82" t="s">
        <v>181</v>
      </c>
      <c r="C121" s="69">
        <v>86.1</v>
      </c>
      <c r="D121" s="69">
        <v>40.4</v>
      </c>
      <c r="E121" s="69">
        <v>98.4</v>
      </c>
      <c r="F121" s="69">
        <v>81.599999999999994</v>
      </c>
      <c r="G121" s="69">
        <v>92.4</v>
      </c>
      <c r="H121" s="83">
        <v>33</v>
      </c>
    </row>
    <row r="122" spans="2:8" x14ac:dyDescent="0.25">
      <c r="B122" s="82" t="s">
        <v>182</v>
      </c>
      <c r="C122" s="69">
        <v>38.6</v>
      </c>
      <c r="D122" s="69">
        <v>22.6</v>
      </c>
      <c r="E122" s="69">
        <v>24.8</v>
      </c>
      <c r="F122" s="69">
        <v>28.8</v>
      </c>
      <c r="G122" s="69">
        <v>13.8</v>
      </c>
      <c r="H122" s="83">
        <v>32.4</v>
      </c>
    </row>
    <row r="123" spans="2:8" ht="15.75" thickBot="1" x14ac:dyDescent="0.3">
      <c r="B123" s="88" t="s">
        <v>190</v>
      </c>
      <c r="C123" s="89">
        <v>46.5</v>
      </c>
      <c r="D123" s="89">
        <v>62.2</v>
      </c>
      <c r="E123" s="89">
        <v>54.6</v>
      </c>
      <c r="F123" s="89">
        <v>56.5</v>
      </c>
      <c r="G123" s="89">
        <v>40.1</v>
      </c>
      <c r="H123" s="90">
        <v>28.3</v>
      </c>
    </row>
  </sheetData>
  <sheetProtection algorithmName="SHA-512" hashValue="oi0iowSSzAV7CmUiPAe4Z5v4KxnOZmcBhX9bGi0AGJb4dSsU2nKdxJJKyd9GZGlqhxiHMAws+EfUoDNeVpPcJQ==" saltValue="cr3PqKLWGjsGngANwh3lFQ==" spinCount="100000" sheet="1" objects="1" scenarios="1"/>
  <mergeCells count="6">
    <mergeCell ref="C106:H106"/>
    <mergeCell ref="C11:H11"/>
    <mergeCell ref="C30:H30"/>
    <mergeCell ref="C49:H49"/>
    <mergeCell ref="C68:H68"/>
    <mergeCell ref="C87:H8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D9762FF8314B469E66CE6AA71751E3" ma:contentTypeVersion="17" ma:contentTypeDescription="Create a new document." ma:contentTypeScope="" ma:versionID="2f425eda8a014cef42d9f7888ef44b49">
  <xsd:schema xmlns:xsd="http://www.w3.org/2001/XMLSchema" xmlns:xs="http://www.w3.org/2001/XMLSchema" xmlns:p="http://schemas.microsoft.com/office/2006/metadata/properties" xmlns:ns2="eb40bc1c-3381-429a-9ae7-842aea39bc78" xmlns:ns3="d3b74965-d67d-49c6-96fd-377a009da05c" targetNamespace="http://schemas.microsoft.com/office/2006/metadata/properties" ma:root="true" ma:fieldsID="e40bc4f3b5acc8dbec02b5346a90cfaf" ns2:_="" ns3:_="">
    <xsd:import namespace="eb40bc1c-3381-429a-9ae7-842aea39bc78"/>
    <xsd:import namespace="d3b74965-d67d-49c6-96fd-377a009da05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bc1c-3381-429a-9ae7-842aea39bc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4bf4423-53a9-437d-a884-c6c3f3a654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74965-d67d-49c6-96fd-377a009da05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c8ce541-9b12-4d43-85be-455c1143c627}" ma:internalName="TaxCatchAll" ma:showField="CatchAllData" ma:web="d3b74965-d67d-49c6-96fd-377a009da0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b74965-d67d-49c6-96fd-377a009da05c">A32XJXUQP6UV-1275028740-3358155</_dlc_DocId>
    <_dlc_DocIdUrl xmlns="d3b74965-d67d-49c6-96fd-377a009da05c">
      <Url>https://thepropertygrouplimited.sharepoint.com/sites/operations/_layouts/15/DocIdRedir.aspx?ID=A32XJXUQP6UV-1275028740-3358155</Url>
      <Description>A32XJXUQP6UV-1275028740-3358155</Description>
    </_dlc_DocIdUrl>
    <lcf76f155ced4ddcb4097134ff3c332f xmlns="eb40bc1c-3381-429a-9ae7-842aea39bc78">
      <Terms xmlns="http://schemas.microsoft.com/office/infopath/2007/PartnerControls"/>
    </lcf76f155ced4ddcb4097134ff3c332f>
    <TaxCatchAll xmlns="d3b74965-d67d-49c6-96fd-377a009da0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CD293A-860C-49D7-B240-1BAAFE4BE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bc1c-3381-429a-9ae7-842aea39bc78"/>
    <ds:schemaRef ds:uri="d3b74965-d67d-49c6-96fd-377a009da0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F08C2E-009A-4D75-BA57-50ADBFB64978}">
  <ds:schemaRefs>
    <ds:schemaRef ds:uri="http://purl.org/dc/elements/1.1/"/>
    <ds:schemaRef ds:uri="http://schemas.microsoft.com/office/2006/metadata/properties"/>
    <ds:schemaRef ds:uri="eb40bc1c-3381-429a-9ae7-842aea39bc78"/>
    <ds:schemaRef ds:uri="d3b74965-d67d-49c6-96fd-377a009da05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02556D7-3273-46D2-83EF-880402BB521D}">
  <ds:schemaRefs>
    <ds:schemaRef ds:uri="http://schemas.microsoft.com/sharepoint/v3/contenttype/forms"/>
  </ds:schemaRefs>
</ds:datastoreItem>
</file>

<file path=customXml/itemProps4.xml><?xml version="1.0" encoding="utf-8"?>
<ds:datastoreItem xmlns:ds="http://schemas.openxmlformats.org/officeDocument/2006/customXml" ds:itemID="{2EA0B29F-6CDD-4D02-9402-5D4B70C2AAA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Landing Page</vt:lpstr>
      <vt:lpstr>AHM - Leasehold</vt:lpstr>
      <vt:lpstr>Preliminary Feasibility</vt:lpstr>
      <vt:lpstr>Detailed Feasibility Inputs</vt:lpstr>
      <vt:lpstr>Detailed Feasibility</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Hayley Brownlie</dc:creator>
  <cp:lastModifiedBy>Hayley Brownlie</cp:lastModifiedBy>
  <dcterms:created xsi:type="dcterms:W3CDTF">2021-09-23T05:40:11Z</dcterms:created>
  <dcterms:modified xsi:type="dcterms:W3CDTF">2022-12-19T21:20:20Z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0x01010089D9762FF8314B469E66CE6AA71751E3</vt:lpwstr>
  </property>
  <property fmtid="{D5CDD505-2E9C-101B-9397-08002B2CF9AE}" pid="3" name="_dlc_DocIdItemGuid">
    <vt:lpwstr>80c6f1f1-27b7-4a44-b95d-037a92e087f3</vt:lpwstr>
  </property>
  <property fmtid="{D5CDD505-2E9C-101B-9397-08002B2CF9AE}" pid="4" name="MediaServiceImageTags">
    <vt:lpwstr/>
  </property>
</Properties>
</file>