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updateLinks="always"/>
  <mc:AlternateContent xmlns:mc="http://schemas.openxmlformats.org/markup-compatibility/2006">
    <mc:Choice Requires="x15">
      <x15ac:absPath xmlns:x15ac="http://schemas.microsoft.com/office/spreadsheetml/2010/11/ac" url="https://mhud.sharepoint.com/sites/team2019627215844/prog/PHO Modelling/Current Models and Draft Guides/"/>
    </mc:Choice>
  </mc:AlternateContent>
  <xr:revisionPtr revIDLastSave="635" documentId="8_{06B73C53-65DE-4631-B77A-F2A867FF30EB}" xr6:coauthVersionLast="47" xr6:coauthVersionMax="47" xr10:uidLastSave="{C169BB50-A100-498A-A44C-B6C1D2161B15}"/>
  <bookViews>
    <workbookView xWindow="27250" yWindow="-110" windowWidth="38620" windowHeight="21220" xr2:uid="{881165E3-2481-4AC8-822C-C8FEFBEF0E4B}"/>
  </bookViews>
  <sheets>
    <sheet name="Landing Page" sheetId="1" r:id="rId1"/>
    <sheet name="AHM - Shared Equity" sheetId="13" r:id="rId2"/>
    <sheet name="Preliminary Feasibility" sheetId="16" r:id="rId3"/>
    <sheet name="Detailed Feasibility Inputs" sheetId="4" r:id="rId4"/>
    <sheet name="Detailed Feasibility" sheetId="6" r:id="rId5"/>
    <sheet name="Codes" sheetId="14" r:id="rId6"/>
  </sheets>
  <definedNames>
    <definedName name="payment_number">#REF!</definedName>
  </definedNames>
  <calcPr calcId="191028" concurrentManualCount="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6" i="13" l="1"/>
  <c r="F21" i="4"/>
  <c r="F20" i="4"/>
  <c r="F19" i="4"/>
  <c r="F18" i="4"/>
  <c r="F17" i="4"/>
  <c r="F16" i="4"/>
  <c r="E114" i="13" l="1"/>
  <c r="H38" i="16" l="1"/>
  <c r="H44" i="16" s="1"/>
  <c r="H45" i="16" s="1"/>
  <c r="G34" i="16"/>
  <c r="D48" i="6"/>
  <c r="G28" i="16" l="1"/>
  <c r="F119" i="13" l="1"/>
  <c r="G119" i="13" s="1"/>
  <c r="H119" i="13" s="1"/>
  <c r="G36" i="16"/>
  <c r="I119" i="13" l="1"/>
  <c r="J119" i="13" s="1"/>
  <c r="K119" i="13" s="1"/>
  <c r="L119" i="13" s="1"/>
  <c r="M119" i="13" s="1"/>
  <c r="N119" i="13" s="1"/>
  <c r="O119" i="13" s="1"/>
  <c r="P119" i="13" s="1"/>
  <c r="Q119" i="13" s="1"/>
  <c r="R119" i="13" s="1"/>
  <c r="S119" i="13" s="1"/>
  <c r="T119" i="13" s="1"/>
  <c r="E52" i="13"/>
  <c r="F28" i="13"/>
  <c r="F27" i="13"/>
  <c r="F26" i="13"/>
  <c r="F25" i="13"/>
  <c r="G35" i="16"/>
  <c r="H42" i="16" l="1"/>
  <c r="H30" i="16"/>
  <c r="F31" i="13"/>
  <c r="F30" i="13"/>
  <c r="F37" i="13"/>
  <c r="E45" i="13"/>
  <c r="F22" i="4" l="1"/>
  <c r="E32" i="13" l="1"/>
  <c r="B5" i="13"/>
  <c r="E54" i="13" s="1"/>
  <c r="F5" i="13"/>
  <c r="E5" i="13"/>
  <c r="C5" i="13"/>
  <c r="G25" i="16"/>
  <c r="H37" i="16" l="1"/>
  <c r="C40" i="4"/>
  <c r="B42" i="4"/>
  <c r="B43" i="4"/>
  <c r="B44" i="4"/>
  <c r="B45" i="4"/>
  <c r="B46" i="4"/>
  <c r="B47" i="4"/>
  <c r="B40" i="4"/>
  <c r="J22" i="13"/>
  <c r="C37" i="13"/>
  <c r="B140" i="6" l="1"/>
  <c r="G24" i="16"/>
  <c r="G20" i="16"/>
  <c r="G19" i="16"/>
  <c r="G27" i="16" s="1"/>
  <c r="G26" i="16" l="1"/>
  <c r="H21" i="16"/>
  <c r="C32" i="13"/>
  <c r="F32" i="13" s="1"/>
  <c r="F61" i="6"/>
  <c r="G61" i="6"/>
  <c r="H61" i="6"/>
  <c r="H28" i="16" l="1"/>
  <c r="H32" i="16" s="1"/>
  <c r="C42" i="4"/>
  <c r="I90" i="6"/>
  <c r="H90" i="6"/>
  <c r="G90" i="6"/>
  <c r="AD47" i="14"/>
  <c r="AC47" i="14"/>
  <c r="AB47" i="14"/>
  <c r="AA47" i="14"/>
  <c r="Z47" i="14"/>
  <c r="Y47" i="14"/>
  <c r="X47" i="14"/>
  <c r="W47" i="14"/>
  <c r="V47" i="14"/>
  <c r="U47" i="14"/>
  <c r="T47" i="14"/>
  <c r="S47" i="14"/>
  <c r="R47" i="14"/>
  <c r="Q47" i="14"/>
  <c r="P47" i="14"/>
  <c r="O47" i="14"/>
  <c r="N47" i="14"/>
  <c r="AD46" i="14"/>
  <c r="AC46" i="14"/>
  <c r="AB46" i="14"/>
  <c r="AA46" i="14"/>
  <c r="Z46" i="14"/>
  <c r="Y46" i="14"/>
  <c r="X46" i="14"/>
  <c r="W46" i="14"/>
  <c r="V46" i="14"/>
  <c r="U46" i="14"/>
  <c r="T46" i="14"/>
  <c r="S46" i="14"/>
  <c r="R46" i="14"/>
  <c r="Q46" i="14"/>
  <c r="P46" i="14"/>
  <c r="O46" i="14"/>
  <c r="N46" i="14"/>
  <c r="AD45" i="14"/>
  <c r="AC45" i="14"/>
  <c r="AB45" i="14"/>
  <c r="AA45" i="14"/>
  <c r="Z45" i="14"/>
  <c r="Y45" i="14"/>
  <c r="X45" i="14"/>
  <c r="W45" i="14"/>
  <c r="V45" i="14"/>
  <c r="U45" i="14"/>
  <c r="T45" i="14"/>
  <c r="S45" i="14"/>
  <c r="R45" i="14"/>
  <c r="Q45" i="14"/>
  <c r="P45" i="14"/>
  <c r="O45" i="14"/>
  <c r="N45" i="14"/>
  <c r="AD44" i="14"/>
  <c r="AC44" i="14"/>
  <c r="AB44" i="14"/>
  <c r="AA44" i="14"/>
  <c r="Z44" i="14"/>
  <c r="Y44" i="14"/>
  <c r="X44" i="14"/>
  <c r="W44" i="14"/>
  <c r="V44" i="14"/>
  <c r="U44" i="14"/>
  <c r="T44" i="14"/>
  <c r="S44" i="14"/>
  <c r="R44" i="14"/>
  <c r="Q44" i="14"/>
  <c r="P44" i="14"/>
  <c r="O44" i="14"/>
  <c r="N44" i="14"/>
  <c r="AD43" i="14"/>
  <c r="AC43" i="14"/>
  <c r="AB43" i="14"/>
  <c r="AA43" i="14"/>
  <c r="Z43" i="14"/>
  <c r="Y43" i="14"/>
  <c r="X43" i="14"/>
  <c r="W43" i="14"/>
  <c r="V43" i="14"/>
  <c r="U43" i="14"/>
  <c r="T43" i="14"/>
  <c r="S43" i="14"/>
  <c r="R43" i="14"/>
  <c r="Q43" i="14"/>
  <c r="P43" i="14"/>
  <c r="O43" i="14"/>
  <c r="N43" i="14"/>
  <c r="AD42" i="14"/>
  <c r="AC42" i="14"/>
  <c r="AB42" i="14"/>
  <c r="AA42" i="14"/>
  <c r="Z42" i="14"/>
  <c r="Y42" i="14"/>
  <c r="X42" i="14"/>
  <c r="W42" i="14"/>
  <c r="V42" i="14"/>
  <c r="U42" i="14"/>
  <c r="T42" i="14"/>
  <c r="S42" i="14"/>
  <c r="R42" i="14"/>
  <c r="Q42" i="14"/>
  <c r="P42" i="14"/>
  <c r="O42" i="14"/>
  <c r="N42" i="14"/>
  <c r="AD41" i="14"/>
  <c r="AC41" i="14"/>
  <c r="AB41" i="14"/>
  <c r="AA41" i="14"/>
  <c r="Z41" i="14"/>
  <c r="Y41" i="14"/>
  <c r="X41" i="14"/>
  <c r="W41" i="14"/>
  <c r="V41" i="14"/>
  <c r="U41" i="14"/>
  <c r="T41" i="14"/>
  <c r="S41" i="14"/>
  <c r="R41" i="14"/>
  <c r="Q41" i="14"/>
  <c r="P41" i="14"/>
  <c r="O41" i="14"/>
  <c r="N41" i="14"/>
  <c r="AD40" i="14"/>
  <c r="AC40" i="14"/>
  <c r="AB40" i="14"/>
  <c r="AA40" i="14"/>
  <c r="Z40" i="14"/>
  <c r="Y40" i="14"/>
  <c r="X40" i="14"/>
  <c r="W40" i="14"/>
  <c r="V40" i="14"/>
  <c r="U40" i="14"/>
  <c r="T40" i="14"/>
  <c r="S40" i="14"/>
  <c r="R40" i="14"/>
  <c r="Q40" i="14"/>
  <c r="P40" i="14"/>
  <c r="O40" i="14"/>
  <c r="N40" i="14"/>
  <c r="AD39" i="14"/>
  <c r="AC39" i="14"/>
  <c r="AB39" i="14"/>
  <c r="AA39" i="14"/>
  <c r="Z39" i="14"/>
  <c r="Y39" i="14"/>
  <c r="X39" i="14"/>
  <c r="W39" i="14"/>
  <c r="V39" i="14"/>
  <c r="U39" i="14"/>
  <c r="T39" i="14"/>
  <c r="S39" i="14"/>
  <c r="R39" i="14"/>
  <c r="Q39" i="14"/>
  <c r="P39" i="14"/>
  <c r="O39" i="14"/>
  <c r="N39" i="14"/>
  <c r="AD38" i="14"/>
  <c r="AC38" i="14"/>
  <c r="AB38" i="14"/>
  <c r="AA38" i="14"/>
  <c r="Z38" i="14"/>
  <c r="Y38" i="14"/>
  <c r="X38" i="14"/>
  <c r="W38" i="14"/>
  <c r="V38" i="14"/>
  <c r="U38" i="14"/>
  <c r="T38" i="14"/>
  <c r="S38" i="14"/>
  <c r="R38" i="14"/>
  <c r="Q38" i="14"/>
  <c r="P38" i="14"/>
  <c r="O38" i="14"/>
  <c r="N38" i="14"/>
  <c r="AD37" i="14"/>
  <c r="AC37" i="14"/>
  <c r="AB37" i="14"/>
  <c r="AA37" i="14"/>
  <c r="Z37" i="14"/>
  <c r="Y37" i="14"/>
  <c r="X37" i="14"/>
  <c r="W37" i="14"/>
  <c r="V37" i="14"/>
  <c r="U37" i="14"/>
  <c r="T37" i="14"/>
  <c r="S37" i="14"/>
  <c r="R37" i="14"/>
  <c r="Q37" i="14"/>
  <c r="P37" i="14"/>
  <c r="O37" i="14"/>
  <c r="N37" i="14"/>
  <c r="AD36" i="14"/>
  <c r="AC36" i="14"/>
  <c r="AB36" i="14"/>
  <c r="AA36" i="14"/>
  <c r="Z36" i="14"/>
  <c r="Y36" i="14"/>
  <c r="X36" i="14"/>
  <c r="W36" i="14"/>
  <c r="V36" i="14"/>
  <c r="U36" i="14"/>
  <c r="T36" i="14"/>
  <c r="S36" i="14"/>
  <c r="R36" i="14"/>
  <c r="Q36" i="14"/>
  <c r="P36" i="14"/>
  <c r="O36" i="14"/>
  <c r="N36" i="14"/>
  <c r="AD35" i="14"/>
  <c r="AC35" i="14"/>
  <c r="AB35" i="14"/>
  <c r="AA35" i="14"/>
  <c r="Z35" i="14"/>
  <c r="Y35" i="14"/>
  <c r="X35" i="14"/>
  <c r="W35" i="14"/>
  <c r="V35" i="14"/>
  <c r="U35" i="14"/>
  <c r="T35" i="14"/>
  <c r="S35" i="14"/>
  <c r="R35" i="14"/>
  <c r="Q35" i="14"/>
  <c r="P35" i="14"/>
  <c r="O35" i="14"/>
  <c r="N35" i="14"/>
  <c r="AD34" i="14"/>
  <c r="AC34" i="14"/>
  <c r="AB34" i="14"/>
  <c r="AA34" i="14"/>
  <c r="Z34" i="14"/>
  <c r="Y34" i="14"/>
  <c r="X34" i="14"/>
  <c r="W34" i="14"/>
  <c r="V34" i="14"/>
  <c r="U34" i="14"/>
  <c r="T34" i="14"/>
  <c r="S34" i="14"/>
  <c r="R34" i="14"/>
  <c r="Q34" i="14"/>
  <c r="P34" i="14"/>
  <c r="O34" i="14"/>
  <c r="N34" i="14"/>
  <c r="AD33" i="14"/>
  <c r="AC33" i="14"/>
  <c r="AB33" i="14"/>
  <c r="AA33" i="14"/>
  <c r="Z33" i="14"/>
  <c r="Y33" i="14"/>
  <c r="X33" i="14"/>
  <c r="W33" i="14"/>
  <c r="V33" i="14"/>
  <c r="U33" i="14"/>
  <c r="T33" i="14"/>
  <c r="S33" i="14"/>
  <c r="R33" i="14"/>
  <c r="Q33" i="14"/>
  <c r="P33" i="14"/>
  <c r="O33" i="14"/>
  <c r="N33" i="14"/>
  <c r="AD32" i="14"/>
  <c r="AC32" i="14"/>
  <c r="AB32" i="14"/>
  <c r="AA32" i="14"/>
  <c r="Z32" i="14"/>
  <c r="Y32" i="14"/>
  <c r="X32" i="14"/>
  <c r="W32" i="14"/>
  <c r="V32" i="14"/>
  <c r="U32" i="14"/>
  <c r="T32" i="14"/>
  <c r="S32" i="14"/>
  <c r="R32" i="14"/>
  <c r="Q32" i="14"/>
  <c r="P32" i="14"/>
  <c r="O32" i="14"/>
  <c r="N32" i="14"/>
  <c r="AD31" i="14"/>
  <c r="AC31" i="14"/>
  <c r="AB31" i="14"/>
  <c r="AA31" i="14"/>
  <c r="Z31" i="14"/>
  <c r="Y31" i="14"/>
  <c r="X31" i="14"/>
  <c r="W31" i="14"/>
  <c r="V31" i="14"/>
  <c r="U31" i="14"/>
  <c r="T31" i="14"/>
  <c r="S31" i="14"/>
  <c r="R31" i="14"/>
  <c r="Q31" i="14"/>
  <c r="P31" i="14"/>
  <c r="O31" i="14"/>
  <c r="N31" i="14"/>
  <c r="AD30" i="14"/>
  <c r="AC30" i="14"/>
  <c r="AB30" i="14"/>
  <c r="AA30" i="14"/>
  <c r="Z30" i="14"/>
  <c r="Y30" i="14"/>
  <c r="X30" i="14"/>
  <c r="W30" i="14"/>
  <c r="V30" i="14"/>
  <c r="U30" i="14"/>
  <c r="T30" i="14"/>
  <c r="S30" i="14"/>
  <c r="R30" i="14"/>
  <c r="Q30" i="14"/>
  <c r="P30" i="14"/>
  <c r="O30" i="14"/>
  <c r="N30" i="14"/>
  <c r="AD29" i="14"/>
  <c r="AC29" i="14"/>
  <c r="AB29" i="14"/>
  <c r="AA29" i="14"/>
  <c r="Z29" i="14"/>
  <c r="Y29" i="14"/>
  <c r="X29" i="14"/>
  <c r="W29" i="14"/>
  <c r="V29" i="14"/>
  <c r="U29" i="14"/>
  <c r="T29" i="14"/>
  <c r="S29" i="14"/>
  <c r="R29" i="14"/>
  <c r="Q29" i="14"/>
  <c r="P29" i="14"/>
  <c r="O29" i="14"/>
  <c r="N29" i="14"/>
  <c r="AD28" i="14"/>
  <c r="AC28" i="14"/>
  <c r="AB28" i="14"/>
  <c r="AA28" i="14"/>
  <c r="Z28" i="14"/>
  <c r="Y28" i="14"/>
  <c r="X28" i="14"/>
  <c r="W28" i="14"/>
  <c r="V28" i="14"/>
  <c r="U28" i="14"/>
  <c r="T28" i="14"/>
  <c r="S28" i="14"/>
  <c r="R28" i="14"/>
  <c r="Q28" i="14"/>
  <c r="P28" i="14"/>
  <c r="O28" i="14"/>
  <c r="N28" i="14"/>
  <c r="AD27" i="14"/>
  <c r="AC27" i="14"/>
  <c r="AB27" i="14"/>
  <c r="AA27" i="14"/>
  <c r="Z27" i="14"/>
  <c r="Y27" i="14"/>
  <c r="X27" i="14"/>
  <c r="W27" i="14"/>
  <c r="V27" i="14"/>
  <c r="U27" i="14"/>
  <c r="T27" i="14"/>
  <c r="S27" i="14"/>
  <c r="R27" i="14"/>
  <c r="Q27" i="14"/>
  <c r="P27" i="14"/>
  <c r="O27" i="14"/>
  <c r="N27" i="14"/>
  <c r="AD26" i="14"/>
  <c r="AC26" i="14"/>
  <c r="AB26" i="14"/>
  <c r="AA26" i="14"/>
  <c r="Z26" i="14"/>
  <c r="Y26" i="14"/>
  <c r="X26" i="14"/>
  <c r="W26" i="14"/>
  <c r="V26" i="14"/>
  <c r="U26" i="14"/>
  <c r="T26" i="14"/>
  <c r="S26" i="14"/>
  <c r="R26" i="14"/>
  <c r="Q26" i="14"/>
  <c r="P26" i="14"/>
  <c r="O26" i="14"/>
  <c r="N26" i="14"/>
  <c r="AD25" i="14"/>
  <c r="AC25" i="14"/>
  <c r="AB25" i="14"/>
  <c r="AA25" i="14"/>
  <c r="Z25" i="14"/>
  <c r="Y25" i="14"/>
  <c r="X25" i="14"/>
  <c r="W25" i="14"/>
  <c r="V25" i="14"/>
  <c r="U25" i="14"/>
  <c r="T25" i="14"/>
  <c r="S25" i="14"/>
  <c r="R25" i="14"/>
  <c r="Q25" i="14"/>
  <c r="P25" i="14"/>
  <c r="O25" i="14"/>
  <c r="N25" i="14"/>
  <c r="AD24" i="14"/>
  <c r="AC24" i="14"/>
  <c r="AB24" i="14"/>
  <c r="AA24" i="14"/>
  <c r="Z24" i="14"/>
  <c r="Y24" i="14"/>
  <c r="X24" i="14"/>
  <c r="W24" i="14"/>
  <c r="V24" i="14"/>
  <c r="U24" i="14"/>
  <c r="T24" i="14"/>
  <c r="S24" i="14"/>
  <c r="R24" i="14"/>
  <c r="Q24" i="14"/>
  <c r="P24" i="14"/>
  <c r="O24" i="14"/>
  <c r="N24" i="14"/>
  <c r="AD23" i="14"/>
  <c r="AC23" i="14"/>
  <c r="AB23" i="14"/>
  <c r="AA23" i="14"/>
  <c r="Z23" i="14"/>
  <c r="Y23" i="14"/>
  <c r="X23" i="14"/>
  <c r="W23" i="14"/>
  <c r="V23" i="14"/>
  <c r="U23" i="14"/>
  <c r="T23" i="14"/>
  <c r="S23" i="14"/>
  <c r="R23" i="14"/>
  <c r="Q23" i="14"/>
  <c r="P23" i="14"/>
  <c r="O23" i="14"/>
  <c r="N23" i="14"/>
  <c r="AD22" i="14"/>
  <c r="AC22" i="14"/>
  <c r="AB22" i="14"/>
  <c r="AA22" i="14"/>
  <c r="Z22" i="14"/>
  <c r="Y22" i="14"/>
  <c r="X22" i="14"/>
  <c r="W22" i="14"/>
  <c r="V22" i="14"/>
  <c r="U22" i="14"/>
  <c r="T22" i="14"/>
  <c r="S22" i="14"/>
  <c r="R22" i="14"/>
  <c r="Q22" i="14"/>
  <c r="P22" i="14"/>
  <c r="O22" i="14"/>
  <c r="N22" i="14"/>
  <c r="AD21" i="14"/>
  <c r="AC21" i="14"/>
  <c r="AB21" i="14"/>
  <c r="AA21" i="14"/>
  <c r="Z21" i="14"/>
  <c r="Y21" i="14"/>
  <c r="X21" i="14"/>
  <c r="W21" i="14"/>
  <c r="V21" i="14"/>
  <c r="U21" i="14"/>
  <c r="T21" i="14"/>
  <c r="S21" i="14"/>
  <c r="R21" i="14"/>
  <c r="Q21" i="14"/>
  <c r="P21" i="14"/>
  <c r="O21" i="14"/>
  <c r="N21" i="14"/>
  <c r="AD20" i="14"/>
  <c r="AC20" i="14"/>
  <c r="AB20" i="14"/>
  <c r="AA20" i="14"/>
  <c r="Z20" i="14"/>
  <c r="Y20" i="14"/>
  <c r="X20" i="14"/>
  <c r="W20" i="14"/>
  <c r="V20" i="14"/>
  <c r="U20" i="14"/>
  <c r="T20" i="14"/>
  <c r="S20" i="14"/>
  <c r="R20" i="14"/>
  <c r="Q20" i="14"/>
  <c r="P20" i="14"/>
  <c r="O20" i="14"/>
  <c r="N20" i="14"/>
  <c r="AD19" i="14"/>
  <c r="AC19" i="14"/>
  <c r="AB19" i="14"/>
  <c r="AA19" i="14"/>
  <c r="Z19" i="14"/>
  <c r="Y19" i="14"/>
  <c r="X19" i="14"/>
  <c r="W19" i="14"/>
  <c r="V19" i="14"/>
  <c r="U19" i="14"/>
  <c r="T19" i="14"/>
  <c r="S19" i="14"/>
  <c r="R19" i="14"/>
  <c r="Q19" i="14"/>
  <c r="P19" i="14"/>
  <c r="O19" i="14"/>
  <c r="N19" i="14"/>
  <c r="AD18" i="14"/>
  <c r="AC18" i="14"/>
  <c r="AB18" i="14"/>
  <c r="AA18" i="14"/>
  <c r="Z18" i="14"/>
  <c r="Y18" i="14"/>
  <c r="X18" i="14"/>
  <c r="W18" i="14"/>
  <c r="V18" i="14"/>
  <c r="U18" i="14"/>
  <c r="T18" i="14"/>
  <c r="S18" i="14"/>
  <c r="R18" i="14"/>
  <c r="Q18" i="14"/>
  <c r="P18" i="14"/>
  <c r="O18" i="14"/>
  <c r="N18" i="14"/>
  <c r="AD17" i="14"/>
  <c r="AC17" i="14"/>
  <c r="AB17" i="14"/>
  <c r="AA17" i="14"/>
  <c r="Z17" i="14"/>
  <c r="Y17" i="14"/>
  <c r="X17" i="14"/>
  <c r="W17" i="14"/>
  <c r="V17" i="14"/>
  <c r="U17" i="14"/>
  <c r="T17" i="14"/>
  <c r="S17" i="14"/>
  <c r="R17" i="14"/>
  <c r="Q17" i="14"/>
  <c r="P17" i="14"/>
  <c r="O17" i="14"/>
  <c r="N17" i="14"/>
  <c r="AD16" i="14"/>
  <c r="AC16" i="14"/>
  <c r="AB16" i="14"/>
  <c r="AA16" i="14"/>
  <c r="Z16" i="14"/>
  <c r="Y16" i="14"/>
  <c r="X16" i="14"/>
  <c r="W16" i="14"/>
  <c r="V16" i="14"/>
  <c r="U16" i="14"/>
  <c r="T16" i="14"/>
  <c r="S16" i="14"/>
  <c r="R16" i="14"/>
  <c r="Q16" i="14"/>
  <c r="P16" i="14"/>
  <c r="O16" i="14"/>
  <c r="N16" i="14"/>
  <c r="AD15" i="14"/>
  <c r="AC15" i="14"/>
  <c r="AB15" i="14"/>
  <c r="AA15" i="14"/>
  <c r="Z15" i="14"/>
  <c r="Y15" i="14"/>
  <c r="X15" i="14"/>
  <c r="W15" i="14"/>
  <c r="V15" i="14"/>
  <c r="U15" i="14"/>
  <c r="T15" i="14"/>
  <c r="S15" i="14"/>
  <c r="R15" i="14"/>
  <c r="Q15" i="14"/>
  <c r="P15" i="14"/>
  <c r="O15" i="14"/>
  <c r="N15" i="14"/>
  <c r="AD14" i="14"/>
  <c r="AC14" i="14"/>
  <c r="AB14" i="14"/>
  <c r="AA14" i="14"/>
  <c r="Z14" i="14"/>
  <c r="Y14" i="14"/>
  <c r="X14" i="14"/>
  <c r="W14" i="14"/>
  <c r="V14" i="14"/>
  <c r="U14" i="14"/>
  <c r="T14" i="14"/>
  <c r="S14" i="14"/>
  <c r="R14" i="14"/>
  <c r="Q14" i="14"/>
  <c r="P14" i="14"/>
  <c r="O14" i="14"/>
  <c r="N14" i="14"/>
  <c r="AD13" i="14"/>
  <c r="AC13" i="14"/>
  <c r="AB13" i="14"/>
  <c r="AA13" i="14"/>
  <c r="Z13" i="14"/>
  <c r="Y13" i="14"/>
  <c r="X13" i="14"/>
  <c r="W13" i="14"/>
  <c r="V13" i="14"/>
  <c r="U13" i="14"/>
  <c r="T13" i="14"/>
  <c r="S13" i="14"/>
  <c r="R13" i="14"/>
  <c r="Q13" i="14"/>
  <c r="P13" i="14"/>
  <c r="O13" i="14"/>
  <c r="N13" i="14"/>
  <c r="AD12" i="14"/>
  <c r="AC12" i="14"/>
  <c r="AB12" i="14"/>
  <c r="AA12" i="14"/>
  <c r="Z12" i="14"/>
  <c r="Y12" i="14"/>
  <c r="X12" i="14"/>
  <c r="W12" i="14"/>
  <c r="V12" i="14"/>
  <c r="U12" i="14"/>
  <c r="T12" i="14"/>
  <c r="S12" i="14"/>
  <c r="R12" i="14"/>
  <c r="Q12" i="14"/>
  <c r="P12" i="14"/>
  <c r="O12" i="14"/>
  <c r="N12" i="14"/>
  <c r="AD11" i="14"/>
  <c r="AC11" i="14"/>
  <c r="AB11" i="14"/>
  <c r="AA11" i="14"/>
  <c r="Z11" i="14"/>
  <c r="Y11" i="14"/>
  <c r="X11" i="14"/>
  <c r="W11" i="14"/>
  <c r="V11" i="14"/>
  <c r="U11" i="14"/>
  <c r="T11" i="14"/>
  <c r="S11" i="14"/>
  <c r="R11" i="14"/>
  <c r="Q11" i="14"/>
  <c r="P11" i="14"/>
  <c r="O11" i="14"/>
  <c r="C7" i="14"/>
  <c r="B7" i="14"/>
  <c r="C6" i="14"/>
  <c r="B6" i="14"/>
  <c r="C5" i="14"/>
  <c r="B5" i="14"/>
  <c r="C4" i="14"/>
  <c r="B4" i="14"/>
  <c r="C3" i="14"/>
  <c r="B3" i="14"/>
  <c r="C2" i="14"/>
  <c r="B2" i="14"/>
  <c r="E119" i="13"/>
  <c r="E116" i="13"/>
  <c r="F116" i="13" s="1"/>
  <c r="G116" i="13" s="1"/>
  <c r="H116" i="13" s="1"/>
  <c r="I116" i="13" s="1"/>
  <c r="J116" i="13" s="1"/>
  <c r="K116" i="13" s="1"/>
  <c r="L116" i="13" s="1"/>
  <c r="M116" i="13" s="1"/>
  <c r="N116" i="13" s="1"/>
  <c r="O116" i="13" s="1"/>
  <c r="P116" i="13" s="1"/>
  <c r="Q116" i="13" s="1"/>
  <c r="R116" i="13" s="1"/>
  <c r="S116" i="13" s="1"/>
  <c r="T116" i="13" s="1"/>
  <c r="F114" i="13"/>
  <c r="E110" i="13"/>
  <c r="Q110" i="13" s="1"/>
  <c r="E109" i="13"/>
  <c r="Q109" i="13" s="1"/>
  <c r="E108" i="13"/>
  <c r="Q108" i="13" s="1"/>
  <c r="E107" i="13"/>
  <c r="Q107" i="13" s="1"/>
  <c r="E98" i="13"/>
  <c r="A68" i="13"/>
  <c r="A67" i="13"/>
  <c r="A66" i="13"/>
  <c r="C57" i="13" l="1"/>
  <c r="D57" i="13" s="1"/>
  <c r="H48" i="16"/>
  <c r="H39" i="16"/>
  <c r="H49" i="16" s="1"/>
  <c r="C67" i="13"/>
  <c r="D67" i="13" s="1"/>
  <c r="G109" i="13"/>
  <c r="H108" i="13"/>
  <c r="L109" i="13"/>
  <c r="N108" i="13"/>
  <c r="S109" i="13"/>
  <c r="F109" i="13"/>
  <c r="N109" i="13"/>
  <c r="K110" i="13"/>
  <c r="L110" i="13"/>
  <c r="S108" i="13"/>
  <c r="H109" i="13"/>
  <c r="P109" i="13"/>
  <c r="F110" i="13"/>
  <c r="P110" i="13"/>
  <c r="K109" i="13"/>
  <c r="R109" i="13"/>
  <c r="G110" i="13"/>
  <c r="R110" i="13"/>
  <c r="J107" i="13"/>
  <c r="O107" i="13"/>
  <c r="T107" i="13"/>
  <c r="F107" i="13"/>
  <c r="K107" i="13"/>
  <c r="P107" i="13"/>
  <c r="J108" i="13"/>
  <c r="O108" i="13"/>
  <c r="T108" i="13"/>
  <c r="G107" i="13"/>
  <c r="L107" i="13"/>
  <c r="R107" i="13"/>
  <c r="F108" i="13"/>
  <c r="K108" i="13"/>
  <c r="P108" i="13"/>
  <c r="J109" i="13"/>
  <c r="O109" i="13"/>
  <c r="T109" i="13"/>
  <c r="H110" i="13"/>
  <c r="N110" i="13"/>
  <c r="S110" i="13"/>
  <c r="H107" i="13"/>
  <c r="N107" i="13"/>
  <c r="S107" i="13"/>
  <c r="G108" i="13"/>
  <c r="L108" i="13"/>
  <c r="R108" i="13"/>
  <c r="J110" i="13"/>
  <c r="O110" i="13"/>
  <c r="T110" i="13"/>
  <c r="C61" i="13"/>
  <c r="D61" i="13" s="1"/>
  <c r="C65" i="13"/>
  <c r="D65" i="13" s="1"/>
  <c r="C62" i="13"/>
  <c r="D62" i="13" s="1"/>
  <c r="C59" i="13"/>
  <c r="C58" i="13"/>
  <c r="D58" i="13" s="1"/>
  <c r="C70" i="13"/>
  <c r="D70" i="13" s="1"/>
  <c r="C63" i="13"/>
  <c r="D63" i="13" s="1"/>
  <c r="C66" i="13"/>
  <c r="D66" i="13" s="1"/>
  <c r="C68" i="13"/>
  <c r="D68" i="13" s="1"/>
  <c r="C71" i="13"/>
  <c r="D71" i="13" s="1"/>
  <c r="C72" i="13"/>
  <c r="D72" i="13" s="1"/>
  <c r="F98" i="13"/>
  <c r="C60" i="13"/>
  <c r="D60" i="13" s="1"/>
  <c r="C64" i="13"/>
  <c r="D64" i="13" s="1"/>
  <c r="C69" i="13"/>
  <c r="D69" i="13" s="1"/>
  <c r="G114" i="13"/>
  <c r="I107" i="13"/>
  <c r="M107" i="13"/>
  <c r="I108" i="13"/>
  <c r="M108" i="13"/>
  <c r="I109" i="13"/>
  <c r="M109" i="13"/>
  <c r="I110" i="13"/>
  <c r="M110" i="13"/>
  <c r="G39" i="16" l="1"/>
  <c r="E37" i="16" s="1"/>
  <c r="H114" i="13"/>
  <c r="G98" i="13"/>
  <c r="H98" i="13" l="1"/>
  <c r="I114" i="13"/>
  <c r="I98" i="13" l="1"/>
  <c r="J114" i="13"/>
  <c r="K114" i="13" l="1"/>
  <c r="J98" i="13"/>
  <c r="K98" i="13" l="1"/>
  <c r="L114" i="13"/>
  <c r="L98" i="13" l="1"/>
  <c r="M114" i="13"/>
  <c r="N114" i="13" l="1"/>
  <c r="M98" i="13"/>
  <c r="N98" i="13" l="1"/>
  <c r="O114" i="13"/>
  <c r="O98" i="13" l="1"/>
  <c r="P114" i="13"/>
  <c r="P98" i="13" l="1"/>
  <c r="Q114" i="13"/>
  <c r="R114" i="13" l="1"/>
  <c r="Q98" i="13"/>
  <c r="R98" i="13" l="1"/>
  <c r="S114" i="13"/>
  <c r="T114" i="13" l="1"/>
  <c r="S98" i="13"/>
  <c r="T98" i="13" l="1"/>
  <c r="I63" i="6" l="1"/>
  <c r="E57" i="4"/>
  <c r="D135" i="6" l="1"/>
  <c r="B135" i="6"/>
  <c r="D134" i="6"/>
  <c r="B134" i="6"/>
  <c r="D133" i="6"/>
  <c r="B133" i="6"/>
  <c r="D132" i="6"/>
  <c r="B132" i="6"/>
  <c r="D131" i="6"/>
  <c r="B131" i="6"/>
  <c r="C129" i="6"/>
  <c r="C128" i="6"/>
  <c r="C127" i="6"/>
  <c r="B96" i="6"/>
  <c r="B150" i="6" s="1"/>
  <c r="B95" i="6"/>
  <c r="B149" i="6" s="1"/>
  <c r="B94" i="6"/>
  <c r="B120" i="6" s="1"/>
  <c r="B93" i="6"/>
  <c r="B119" i="6" s="1"/>
  <c r="B92" i="6"/>
  <c r="B118" i="6" s="1"/>
  <c r="B91" i="6"/>
  <c r="B145" i="6" s="1"/>
  <c r="I82" i="6"/>
  <c r="C82" i="6"/>
  <c r="B82" i="6"/>
  <c r="I81" i="6"/>
  <c r="C81" i="6"/>
  <c r="B81" i="6"/>
  <c r="I80" i="6"/>
  <c r="C80" i="6"/>
  <c r="B80" i="6"/>
  <c r="I79" i="6"/>
  <c r="C79" i="6"/>
  <c r="B79" i="6"/>
  <c r="I78" i="6"/>
  <c r="C78" i="6"/>
  <c r="B78" i="6"/>
  <c r="I77" i="6"/>
  <c r="C77" i="6"/>
  <c r="B77" i="6"/>
  <c r="I76" i="6"/>
  <c r="C76" i="6"/>
  <c r="B76" i="6"/>
  <c r="I75" i="6"/>
  <c r="C75" i="6"/>
  <c r="B75" i="6"/>
  <c r="I74" i="6"/>
  <c r="C74" i="6"/>
  <c r="B74" i="6"/>
  <c r="I73" i="6"/>
  <c r="C73" i="6"/>
  <c r="B73" i="6"/>
  <c r="I72" i="6"/>
  <c r="C72" i="6"/>
  <c r="B72" i="6"/>
  <c r="I71" i="6"/>
  <c r="C71" i="6"/>
  <c r="B71" i="6"/>
  <c r="I70" i="6"/>
  <c r="C70" i="6"/>
  <c r="B70" i="6"/>
  <c r="I69" i="6"/>
  <c r="C69" i="6"/>
  <c r="B69" i="6"/>
  <c r="I68" i="6"/>
  <c r="C68" i="6"/>
  <c r="B68" i="6"/>
  <c r="I67" i="6"/>
  <c r="C67" i="6"/>
  <c r="B67" i="6"/>
  <c r="I66" i="6"/>
  <c r="C66" i="6"/>
  <c r="B66" i="6"/>
  <c r="I65" i="6"/>
  <c r="C65" i="6"/>
  <c r="B65" i="6"/>
  <c r="I64" i="6"/>
  <c r="C64" i="6"/>
  <c r="B64" i="6"/>
  <c r="C63" i="6"/>
  <c r="B63" i="6"/>
  <c r="P62" i="6"/>
  <c r="O62" i="6"/>
  <c r="N62" i="6"/>
  <c r="B56" i="6"/>
  <c r="B143" i="6" s="1"/>
  <c r="B55" i="6"/>
  <c r="B142" i="6" s="1"/>
  <c r="B54" i="6"/>
  <c r="B141" i="6" s="1"/>
  <c r="B114" i="4"/>
  <c r="B113" i="4"/>
  <c r="F106" i="4"/>
  <c r="F105" i="4"/>
  <c r="F104" i="4"/>
  <c r="F103" i="4"/>
  <c r="F102" i="4"/>
  <c r="F101" i="4"/>
  <c r="F100" i="4"/>
  <c r="F96" i="4"/>
  <c r="F95" i="4"/>
  <c r="F94" i="4"/>
  <c r="F93" i="4"/>
  <c r="F92" i="4"/>
  <c r="F91" i="4"/>
  <c r="F90" i="4"/>
  <c r="F89" i="4"/>
  <c r="F88" i="4"/>
  <c r="F87" i="4"/>
  <c r="F86" i="4"/>
  <c r="F82" i="4"/>
  <c r="F81" i="4"/>
  <c r="F80" i="4"/>
  <c r="F79" i="4"/>
  <c r="F78" i="4"/>
  <c r="F77" i="4"/>
  <c r="F76" i="4"/>
  <c r="F75" i="4"/>
  <c r="F74" i="4"/>
  <c r="F73" i="4"/>
  <c r="F72" i="4"/>
  <c r="F71" i="4"/>
  <c r="F68" i="4"/>
  <c r="F67" i="4"/>
  <c r="E58" i="4"/>
  <c r="B58" i="4"/>
  <c r="B57" i="4"/>
  <c r="E56" i="4"/>
  <c r="B56" i="4"/>
  <c r="E55" i="4"/>
  <c r="B55" i="4"/>
  <c r="E54" i="4"/>
  <c r="B54" i="4"/>
  <c r="E53" i="4"/>
  <c r="B53" i="4"/>
  <c r="C52" i="4"/>
  <c r="B52" i="4"/>
  <c r="I47" i="4"/>
  <c r="F47" i="4"/>
  <c r="C47" i="4"/>
  <c r="I46" i="4"/>
  <c r="F46" i="4"/>
  <c r="C46" i="4"/>
  <c r="I45" i="4"/>
  <c r="F45" i="4"/>
  <c r="C45" i="4"/>
  <c r="I44" i="4"/>
  <c r="F44" i="4"/>
  <c r="C44" i="4"/>
  <c r="I43" i="4"/>
  <c r="F43" i="4"/>
  <c r="I42" i="4"/>
  <c r="F42" i="4"/>
  <c r="E65" i="6" l="1"/>
  <c r="E69" i="6"/>
  <c r="E73" i="6"/>
  <c r="E77" i="6"/>
  <c r="E81" i="6"/>
  <c r="E64" i="6"/>
  <c r="E68" i="6"/>
  <c r="E72" i="6"/>
  <c r="E76" i="6"/>
  <c r="E80" i="6"/>
  <c r="E67" i="6"/>
  <c r="E71" i="6"/>
  <c r="E75" i="6"/>
  <c r="E79" i="6"/>
  <c r="E66" i="6"/>
  <c r="E70" i="6"/>
  <c r="E74" i="6"/>
  <c r="E78" i="6"/>
  <c r="E82" i="6"/>
  <c r="E63" i="6"/>
  <c r="P63" i="6" s="1"/>
  <c r="F107" i="4"/>
  <c r="F108" i="4" s="1"/>
  <c r="F83" i="4"/>
  <c r="F84" i="4" s="1"/>
  <c r="D113" i="4" s="1"/>
  <c r="F97" i="4"/>
  <c r="F98" i="4" s="1"/>
  <c r="C43" i="4"/>
  <c r="G22" i="4"/>
  <c r="B147" i="6"/>
  <c r="B148" i="6"/>
  <c r="B146" i="6"/>
  <c r="F69" i="4"/>
  <c r="B117" i="6"/>
  <c r="B121" i="6"/>
  <c r="B122" i="6"/>
  <c r="D91" i="6"/>
  <c r="E91" i="6" s="1"/>
  <c r="K42" i="4"/>
  <c r="L42" i="4" s="1"/>
  <c r="D117" i="6" s="1"/>
  <c r="D93" i="6"/>
  <c r="E93" i="6" s="1"/>
  <c r="K44" i="4"/>
  <c r="D75" i="6" s="1"/>
  <c r="D95" i="6"/>
  <c r="E95" i="6" s="1"/>
  <c r="K46" i="4"/>
  <c r="L46" i="4" s="1"/>
  <c r="D121" i="6" s="1"/>
  <c r="D92" i="6"/>
  <c r="E92" i="6" s="1"/>
  <c r="K43" i="4"/>
  <c r="D73" i="6" s="1"/>
  <c r="D94" i="6"/>
  <c r="E94" i="6" s="1"/>
  <c r="K45" i="4"/>
  <c r="D80" i="6" s="1"/>
  <c r="D96" i="6"/>
  <c r="E96" i="6" s="1"/>
  <c r="K47" i="4"/>
  <c r="L47" i="4" s="1"/>
  <c r="D122" i="6" s="1"/>
  <c r="C57" i="4"/>
  <c r="C92" i="6"/>
  <c r="C55" i="4"/>
  <c r="C56" i="4"/>
  <c r="C58" i="4"/>
  <c r="F58" i="4" s="1"/>
  <c r="D150" i="6" s="1"/>
  <c r="C91" i="6"/>
  <c r="C53" i="4"/>
  <c r="F53" i="4" s="1"/>
  <c r="C96" i="6"/>
  <c r="G96" i="6" s="1"/>
  <c r="C93" i="6"/>
  <c r="F114" i="6"/>
  <c r="F120" i="6" s="1"/>
  <c r="C95" i="6"/>
  <c r="G95" i="6" s="1"/>
  <c r="H22" i="4"/>
  <c r="C54" i="4"/>
  <c r="C94" i="6"/>
  <c r="D70" i="6" l="1"/>
  <c r="D72" i="6"/>
  <c r="D64" i="6"/>
  <c r="D63" i="6"/>
  <c r="D78" i="6"/>
  <c r="D79" i="6"/>
  <c r="D71" i="6"/>
  <c r="D69" i="6"/>
  <c r="D77" i="6"/>
  <c r="D82" i="6"/>
  <c r="D76" i="6"/>
  <c r="D68" i="6"/>
  <c r="D81" i="6"/>
  <c r="D74" i="6"/>
  <c r="D66" i="6"/>
  <c r="D67" i="6"/>
  <c r="D65" i="6"/>
  <c r="F148" i="6"/>
  <c r="F129" i="6"/>
  <c r="F119" i="6"/>
  <c r="F118" i="6"/>
  <c r="F145" i="6"/>
  <c r="F149" i="6"/>
  <c r="F121" i="6"/>
  <c r="F117" i="6"/>
  <c r="F146" i="6"/>
  <c r="F122" i="6"/>
  <c r="F140" i="6"/>
  <c r="F132" i="6"/>
  <c r="F131" i="6"/>
  <c r="F128" i="6"/>
  <c r="D145" i="6"/>
  <c r="F147" i="6"/>
  <c r="D140" i="6"/>
  <c r="F110" i="4"/>
  <c r="F150" i="6"/>
  <c r="F143" i="6"/>
  <c r="F142" i="6"/>
  <c r="F141" i="6"/>
  <c r="D142" i="6"/>
  <c r="F94" i="6"/>
  <c r="D141" i="6"/>
  <c r="L45" i="4"/>
  <c r="D120" i="6" s="1"/>
  <c r="F96" i="6"/>
  <c r="J96" i="6" s="1"/>
  <c r="F93" i="6"/>
  <c r="J93" i="6" s="1"/>
  <c r="L44" i="4"/>
  <c r="D119" i="6" s="1"/>
  <c r="L43" i="4"/>
  <c r="D118" i="6" s="1"/>
  <c r="F95" i="6"/>
  <c r="J95" i="6" s="1"/>
  <c r="D114" i="4"/>
  <c r="F92" i="6"/>
  <c r="I92" i="6" s="1"/>
  <c r="F91" i="6"/>
  <c r="J91" i="6" s="1"/>
  <c r="F56" i="4"/>
  <c r="D148" i="6" s="1"/>
  <c r="F54" i="4"/>
  <c r="D146" i="6" s="1"/>
  <c r="F55" i="4"/>
  <c r="D147" i="6" s="1"/>
  <c r="F57" i="4"/>
  <c r="D149" i="6" s="1"/>
  <c r="P81" i="6"/>
  <c r="O81" i="6"/>
  <c r="N81" i="6"/>
  <c r="P79" i="6"/>
  <c r="O79" i="6"/>
  <c r="N79" i="6"/>
  <c r="P77" i="6"/>
  <c r="N77" i="6"/>
  <c r="O77" i="6"/>
  <c r="P75" i="6"/>
  <c r="N75" i="6"/>
  <c r="O75" i="6"/>
  <c r="P73" i="6"/>
  <c r="O73" i="6"/>
  <c r="N73" i="6"/>
  <c r="P71" i="6"/>
  <c r="N71" i="6"/>
  <c r="O71" i="6"/>
  <c r="P69" i="6"/>
  <c r="N69" i="6"/>
  <c r="O69" i="6"/>
  <c r="P67" i="6"/>
  <c r="N67" i="6"/>
  <c r="O67" i="6"/>
  <c r="P65" i="6"/>
  <c r="O65" i="6"/>
  <c r="N65" i="6"/>
  <c r="N63" i="6"/>
  <c r="O63" i="6"/>
  <c r="N68" i="6"/>
  <c r="P68" i="6"/>
  <c r="O68" i="6"/>
  <c r="I95" i="6"/>
  <c r="H95" i="6"/>
  <c r="N74" i="6"/>
  <c r="P74" i="6"/>
  <c r="O74" i="6"/>
  <c r="N64" i="6"/>
  <c r="P64" i="6"/>
  <c r="O64" i="6"/>
  <c r="H96" i="6"/>
  <c r="I96" i="6"/>
  <c r="N70" i="6"/>
  <c r="P70" i="6"/>
  <c r="O70" i="6"/>
  <c r="O78" i="6"/>
  <c r="N78" i="6"/>
  <c r="P78" i="6"/>
  <c r="N76" i="6"/>
  <c r="P76" i="6"/>
  <c r="O76" i="6"/>
  <c r="F135" i="6"/>
  <c r="F133" i="6"/>
  <c r="F134" i="6"/>
  <c r="G114" i="6"/>
  <c r="O80" i="6"/>
  <c r="N80" i="6"/>
  <c r="P80" i="6"/>
  <c r="O66" i="6"/>
  <c r="N66" i="6"/>
  <c r="P66" i="6"/>
  <c r="O82" i="6"/>
  <c r="N82" i="6"/>
  <c r="P82" i="6"/>
  <c r="N72" i="6"/>
  <c r="O72" i="6"/>
  <c r="P72" i="6"/>
  <c r="G91" i="6" l="1"/>
  <c r="F123" i="6"/>
  <c r="G128" i="6"/>
  <c r="G129" i="6"/>
  <c r="G150" i="6"/>
  <c r="G146" i="6"/>
  <c r="G120" i="6"/>
  <c r="G119" i="6"/>
  <c r="G149" i="6"/>
  <c r="G145" i="6"/>
  <c r="G147" i="6"/>
  <c r="G148" i="6"/>
  <c r="G122" i="6"/>
  <c r="G117" i="6"/>
  <c r="G121" i="6"/>
  <c r="G118" i="6"/>
  <c r="D123" i="6"/>
  <c r="F151" i="6"/>
  <c r="F152" i="6" s="1"/>
  <c r="G133" i="6"/>
  <c r="G134" i="6"/>
  <c r="G135" i="6"/>
  <c r="G132" i="6"/>
  <c r="G131" i="6"/>
  <c r="G127" i="6"/>
  <c r="H93" i="6"/>
  <c r="L74" i="6" s="1"/>
  <c r="H92" i="6"/>
  <c r="L71" i="6" s="1"/>
  <c r="H91" i="6"/>
  <c r="F59" i="4"/>
  <c r="F60" i="4" s="1"/>
  <c r="D115" i="4"/>
  <c r="D143" i="6"/>
  <c r="I91" i="6"/>
  <c r="M68" i="6" s="1"/>
  <c r="G141" i="6"/>
  <c r="G140" i="6"/>
  <c r="G142" i="6"/>
  <c r="G143" i="6"/>
  <c r="H94" i="6"/>
  <c r="J94" i="6"/>
  <c r="I94" i="6"/>
  <c r="G94" i="6"/>
  <c r="I93" i="6"/>
  <c r="M75" i="6" s="1"/>
  <c r="G93" i="6"/>
  <c r="K75" i="6" s="1"/>
  <c r="M70" i="6"/>
  <c r="J92" i="6"/>
  <c r="G92" i="6"/>
  <c r="K72" i="6" s="1"/>
  <c r="K84" i="6"/>
  <c r="K87" i="6"/>
  <c r="H114" i="6"/>
  <c r="G151" i="6" l="1"/>
  <c r="G123" i="6"/>
  <c r="H128" i="6"/>
  <c r="H129" i="6"/>
  <c r="H122" i="6"/>
  <c r="H120" i="6"/>
  <c r="H150" i="6"/>
  <c r="H148" i="6"/>
  <c r="H149" i="6"/>
  <c r="H145" i="6"/>
  <c r="H147" i="6"/>
  <c r="H146" i="6"/>
  <c r="H121" i="6"/>
  <c r="H118" i="6"/>
  <c r="H119" i="6"/>
  <c r="H117" i="6"/>
  <c r="K81" i="6"/>
  <c r="K66" i="6"/>
  <c r="K63" i="6"/>
  <c r="L79" i="6"/>
  <c r="G136" i="6"/>
  <c r="H135" i="6"/>
  <c r="H132" i="6"/>
  <c r="H131" i="6"/>
  <c r="H133" i="6"/>
  <c r="H134" i="6"/>
  <c r="H127" i="6"/>
  <c r="L70" i="6"/>
  <c r="M76" i="6"/>
  <c r="M78" i="6"/>
  <c r="J98" i="6"/>
  <c r="E113" i="4"/>
  <c r="E115" i="4"/>
  <c r="E114" i="4"/>
  <c r="D116" i="4"/>
  <c r="E116" i="4" s="1"/>
  <c r="D151" i="6"/>
  <c r="G152" i="6"/>
  <c r="M67" i="6"/>
  <c r="L80" i="6"/>
  <c r="M79" i="6"/>
  <c r="M77" i="6"/>
  <c r="L81" i="6"/>
  <c r="L78" i="6"/>
  <c r="L77" i="6"/>
  <c r="L76" i="6"/>
  <c r="L82" i="6"/>
  <c r="K64" i="6"/>
  <c r="L72" i="6"/>
  <c r="L73" i="6"/>
  <c r="H143" i="6"/>
  <c r="H142" i="6"/>
  <c r="H141" i="6"/>
  <c r="H140" i="6"/>
  <c r="M81" i="6"/>
  <c r="M80" i="6"/>
  <c r="M82" i="6"/>
  <c r="K78" i="6"/>
  <c r="K79" i="6"/>
  <c r="K80" i="6"/>
  <c r="M73" i="6"/>
  <c r="K82" i="6"/>
  <c r="K77" i="6"/>
  <c r="K76" i="6"/>
  <c r="M74" i="6"/>
  <c r="K73" i="6"/>
  <c r="K65" i="6"/>
  <c r="K67" i="6"/>
  <c r="K71" i="6"/>
  <c r="L75" i="6"/>
  <c r="K70" i="6"/>
  <c r="K68" i="6"/>
  <c r="K69" i="6"/>
  <c r="M72" i="6"/>
  <c r="M65" i="6"/>
  <c r="K74" i="6"/>
  <c r="M66" i="6"/>
  <c r="M63" i="6"/>
  <c r="M64" i="6"/>
  <c r="M69" i="6"/>
  <c r="M71" i="6"/>
  <c r="L65" i="6"/>
  <c r="L64" i="6"/>
  <c r="L68" i="6"/>
  <c r="L67" i="6"/>
  <c r="L69" i="6"/>
  <c r="L66" i="6"/>
  <c r="L63" i="6"/>
  <c r="I114" i="6"/>
  <c r="D103" i="6" l="1"/>
  <c r="D109" i="6" s="1"/>
  <c r="C103" i="6" s="1"/>
  <c r="I98" i="6"/>
  <c r="H98" i="6"/>
  <c r="D128" i="6" s="1"/>
  <c r="G98" i="6"/>
  <c r="D127" i="6" s="1"/>
  <c r="H123" i="6"/>
  <c r="I128" i="6"/>
  <c r="I129" i="6"/>
  <c r="I150" i="6"/>
  <c r="I120" i="6"/>
  <c r="I145" i="6"/>
  <c r="I118" i="6"/>
  <c r="I149" i="6"/>
  <c r="I148" i="6"/>
  <c r="I147" i="6"/>
  <c r="I146" i="6"/>
  <c r="I117" i="6"/>
  <c r="I121" i="6"/>
  <c r="I119" i="6"/>
  <c r="I122" i="6"/>
  <c r="H136" i="6"/>
  <c r="I134" i="6"/>
  <c r="I135" i="6"/>
  <c r="I132" i="6"/>
  <c r="I131" i="6"/>
  <c r="I127" i="6"/>
  <c r="I133" i="6"/>
  <c r="D129" i="6"/>
  <c r="H151" i="6"/>
  <c r="H152" i="6" s="1"/>
  <c r="I142" i="6"/>
  <c r="I141" i="6"/>
  <c r="I143" i="6"/>
  <c r="I140" i="6"/>
  <c r="H124" i="6"/>
  <c r="H125" i="6" s="1"/>
  <c r="G124" i="6"/>
  <c r="J114" i="6"/>
  <c r="C106" i="6"/>
  <c r="C107" i="6"/>
  <c r="C105" i="6"/>
  <c r="C108" i="6"/>
  <c r="C104" i="6"/>
  <c r="F127" i="6" l="1"/>
  <c r="F136" i="6" s="1"/>
  <c r="J128" i="6"/>
  <c r="J129" i="6"/>
  <c r="J147" i="6"/>
  <c r="J146" i="6"/>
  <c r="J119" i="6"/>
  <c r="J149" i="6"/>
  <c r="J145" i="6"/>
  <c r="J118" i="6"/>
  <c r="J148" i="6"/>
  <c r="J150" i="6"/>
  <c r="J121" i="6"/>
  <c r="J122" i="6"/>
  <c r="J120" i="6"/>
  <c r="J117" i="6"/>
  <c r="I136" i="6"/>
  <c r="H137" i="6"/>
  <c r="H153" i="6" s="1"/>
  <c r="J133" i="6"/>
  <c r="J134" i="6"/>
  <c r="J135" i="6"/>
  <c r="J131" i="6"/>
  <c r="J132" i="6"/>
  <c r="J127" i="6"/>
  <c r="I151" i="6"/>
  <c r="I152" i="6" s="1"/>
  <c r="J142" i="6"/>
  <c r="J140" i="6"/>
  <c r="J141" i="6"/>
  <c r="J143" i="6"/>
  <c r="I123" i="6"/>
  <c r="F124" i="6"/>
  <c r="F125" i="6" s="1"/>
  <c r="G125" i="6"/>
  <c r="C109" i="6"/>
  <c r="K114" i="6"/>
  <c r="K128" i="6" l="1"/>
  <c r="K129" i="6"/>
  <c r="K119" i="6"/>
  <c r="K150" i="6"/>
  <c r="K146" i="6"/>
  <c r="K121" i="6"/>
  <c r="K145" i="6"/>
  <c r="K148" i="6"/>
  <c r="K149" i="6"/>
  <c r="K147" i="6"/>
  <c r="K120" i="6"/>
  <c r="K117" i="6"/>
  <c r="K122" i="6"/>
  <c r="K118" i="6"/>
  <c r="I124" i="6"/>
  <c r="I125" i="6" s="1"/>
  <c r="I137" i="6" s="1"/>
  <c r="I153" i="6" s="1"/>
  <c r="J136" i="6"/>
  <c r="G137" i="6"/>
  <c r="G153" i="6" s="1"/>
  <c r="F137" i="6"/>
  <c r="F153" i="6" s="1"/>
  <c r="F154" i="6" s="1"/>
  <c r="K132" i="6"/>
  <c r="K131" i="6"/>
  <c r="K133" i="6"/>
  <c r="K134" i="6"/>
  <c r="K135" i="6"/>
  <c r="K127" i="6"/>
  <c r="J151" i="6"/>
  <c r="J152" i="6" s="1"/>
  <c r="K143" i="6"/>
  <c r="K142" i="6"/>
  <c r="K141" i="6"/>
  <c r="K140" i="6"/>
  <c r="J123" i="6"/>
  <c r="J124" i="6" s="1"/>
  <c r="J125" i="6" s="1"/>
  <c r="L114" i="6"/>
  <c r="L128" i="6" l="1"/>
  <c r="L129" i="6"/>
  <c r="L147" i="6"/>
  <c r="L146" i="6"/>
  <c r="L148" i="6"/>
  <c r="L145" i="6"/>
  <c r="L117" i="6"/>
  <c r="L150" i="6"/>
  <c r="L121" i="6"/>
  <c r="L149" i="6"/>
  <c r="L122" i="6"/>
  <c r="L119" i="6"/>
  <c r="L120" i="6"/>
  <c r="L118" i="6"/>
  <c r="G154" i="6"/>
  <c r="G156" i="6" s="1"/>
  <c r="F156" i="6"/>
  <c r="K136" i="6"/>
  <c r="J137" i="6"/>
  <c r="J153" i="6" s="1"/>
  <c r="L135" i="6"/>
  <c r="L132" i="6"/>
  <c r="L131" i="6"/>
  <c r="L133" i="6"/>
  <c r="L127" i="6"/>
  <c r="L134" i="6"/>
  <c r="K151" i="6"/>
  <c r="K152" i="6" s="1"/>
  <c r="L143" i="6"/>
  <c r="L142" i="6"/>
  <c r="L140" i="6"/>
  <c r="L141" i="6"/>
  <c r="K123" i="6"/>
  <c r="K124" i="6" s="1"/>
  <c r="K125" i="6" s="1"/>
  <c r="M114" i="6"/>
  <c r="G158" i="6" l="1"/>
  <c r="M128" i="6"/>
  <c r="M129" i="6"/>
  <c r="M148" i="6"/>
  <c r="M147" i="6"/>
  <c r="M146" i="6"/>
  <c r="M118" i="6"/>
  <c r="M150" i="6"/>
  <c r="M121" i="6"/>
  <c r="M117" i="6"/>
  <c r="M149" i="6"/>
  <c r="M120" i="6"/>
  <c r="M119" i="6"/>
  <c r="M122" i="6"/>
  <c r="M145" i="6"/>
  <c r="F157" i="6"/>
  <c r="G157" i="6" s="1"/>
  <c r="L136" i="6"/>
  <c r="H154" i="6"/>
  <c r="K137" i="6"/>
  <c r="K153" i="6" s="1"/>
  <c r="M134" i="6"/>
  <c r="M135" i="6"/>
  <c r="M132" i="6"/>
  <c r="M131" i="6"/>
  <c r="M133" i="6"/>
  <c r="M127" i="6"/>
  <c r="L151" i="6"/>
  <c r="L152" i="6" s="1"/>
  <c r="M143" i="6"/>
  <c r="M141" i="6"/>
  <c r="M140" i="6"/>
  <c r="M142" i="6"/>
  <c r="L123" i="6"/>
  <c r="L124" i="6" s="1"/>
  <c r="L125" i="6" s="1"/>
  <c r="N114" i="6"/>
  <c r="F158" i="6" l="1"/>
  <c r="N128" i="6"/>
  <c r="N129" i="6"/>
  <c r="N148" i="6"/>
  <c r="N150" i="6"/>
  <c r="N120" i="6"/>
  <c r="N147" i="6"/>
  <c r="N146" i="6"/>
  <c r="N145" i="6"/>
  <c r="N118" i="6"/>
  <c r="N149" i="6"/>
  <c r="N121" i="6"/>
  <c r="N119" i="6"/>
  <c r="N117" i="6"/>
  <c r="N122" i="6"/>
  <c r="M136" i="6"/>
  <c r="L137" i="6"/>
  <c r="L153" i="6" s="1"/>
  <c r="I154" i="6"/>
  <c r="H156" i="6"/>
  <c r="N133" i="6"/>
  <c r="N134" i="6"/>
  <c r="N135" i="6"/>
  <c r="N131" i="6"/>
  <c r="N127" i="6"/>
  <c r="N132" i="6"/>
  <c r="M151" i="6"/>
  <c r="M152" i="6" s="1"/>
  <c r="N143" i="6"/>
  <c r="N141" i="6"/>
  <c r="N142" i="6"/>
  <c r="N140" i="6"/>
  <c r="M123" i="6"/>
  <c r="M124" i="6" s="1"/>
  <c r="M125" i="6" s="1"/>
  <c r="O114" i="6"/>
  <c r="O128" i="6" l="1"/>
  <c r="O129" i="6"/>
  <c r="O148" i="6"/>
  <c r="O146" i="6"/>
  <c r="O149" i="6"/>
  <c r="O122" i="6"/>
  <c r="O120" i="6"/>
  <c r="O147" i="6"/>
  <c r="O150" i="6"/>
  <c r="O119" i="6"/>
  <c r="O145" i="6"/>
  <c r="O118" i="6"/>
  <c r="O117" i="6"/>
  <c r="O121" i="6"/>
  <c r="H157" i="6"/>
  <c r="H158" i="6"/>
  <c r="N136" i="6"/>
  <c r="M137" i="6"/>
  <c r="M153" i="6" s="1"/>
  <c r="J154" i="6"/>
  <c r="I156" i="6"/>
  <c r="O132" i="6"/>
  <c r="O131" i="6"/>
  <c r="O133" i="6"/>
  <c r="O134" i="6"/>
  <c r="O135" i="6"/>
  <c r="O127" i="6"/>
  <c r="N151" i="6"/>
  <c r="N152" i="6" s="1"/>
  <c r="O143" i="6"/>
  <c r="O142" i="6"/>
  <c r="O141" i="6"/>
  <c r="O140" i="6"/>
  <c r="N123" i="6"/>
  <c r="N124" i="6" s="1"/>
  <c r="N125" i="6" s="1"/>
  <c r="P114" i="6"/>
  <c r="P128" i="6" l="1"/>
  <c r="P129" i="6"/>
  <c r="P149" i="6"/>
  <c r="P145" i="6"/>
  <c r="P117" i="6"/>
  <c r="P147" i="6"/>
  <c r="P146" i="6"/>
  <c r="P121" i="6"/>
  <c r="P122" i="6"/>
  <c r="P150" i="6"/>
  <c r="P148" i="6"/>
  <c r="P118" i="6"/>
  <c r="P119" i="6"/>
  <c r="P120" i="6"/>
  <c r="I157" i="6"/>
  <c r="I158" i="6" s="1"/>
  <c r="O136" i="6"/>
  <c r="K154" i="6"/>
  <c r="J156" i="6"/>
  <c r="N137" i="6"/>
  <c r="N153" i="6" s="1"/>
  <c r="P135" i="6"/>
  <c r="P132" i="6"/>
  <c r="P131" i="6"/>
  <c r="P133" i="6"/>
  <c r="P127" i="6"/>
  <c r="P134" i="6"/>
  <c r="O151" i="6"/>
  <c r="O152" i="6" s="1"/>
  <c r="P143" i="6"/>
  <c r="P142" i="6"/>
  <c r="P140" i="6"/>
  <c r="P141" i="6"/>
  <c r="O123" i="6"/>
  <c r="O124" i="6" s="1"/>
  <c r="O125" i="6" s="1"/>
  <c r="Q114" i="6"/>
  <c r="Q128" i="6" l="1"/>
  <c r="Q129" i="6"/>
  <c r="Q149" i="6"/>
  <c r="Q145" i="6"/>
  <c r="Q148" i="6"/>
  <c r="Q147" i="6"/>
  <c r="Q146" i="6"/>
  <c r="Q117" i="6"/>
  <c r="Q150" i="6"/>
  <c r="Q118" i="6"/>
  <c r="Q121" i="6"/>
  <c r="Q119" i="6"/>
  <c r="Q120" i="6"/>
  <c r="Q122" i="6"/>
  <c r="J157" i="6"/>
  <c r="J158" i="6"/>
  <c r="P136" i="6"/>
  <c r="L154" i="6"/>
  <c r="K156" i="6"/>
  <c r="O137" i="6"/>
  <c r="O153" i="6" s="1"/>
  <c r="Q134" i="6"/>
  <c r="Q135" i="6"/>
  <c r="Q132" i="6"/>
  <c r="Q131" i="6"/>
  <c r="Q133" i="6"/>
  <c r="Q127" i="6"/>
  <c r="P151" i="6"/>
  <c r="P152" i="6" s="1"/>
  <c r="Q142" i="6"/>
  <c r="Q140" i="6"/>
  <c r="Q143" i="6"/>
  <c r="Q141" i="6"/>
  <c r="P123" i="6"/>
  <c r="P124" i="6" s="1"/>
  <c r="P125" i="6" s="1"/>
  <c r="R114" i="6"/>
  <c r="R128" i="6" l="1"/>
  <c r="R129" i="6"/>
  <c r="R145" i="6"/>
  <c r="R118" i="6"/>
  <c r="R148" i="6"/>
  <c r="R150" i="6"/>
  <c r="R121" i="6"/>
  <c r="R147" i="6"/>
  <c r="R146" i="6"/>
  <c r="R120" i="6"/>
  <c r="R119" i="6"/>
  <c r="R149" i="6"/>
  <c r="R122" i="6"/>
  <c r="R117" i="6"/>
  <c r="Q136" i="6"/>
  <c r="K157" i="6"/>
  <c r="K158" i="6"/>
  <c r="P137" i="6"/>
  <c r="P153" i="6" s="1"/>
  <c r="M154" i="6"/>
  <c r="L156" i="6"/>
  <c r="R133" i="6"/>
  <c r="R134" i="6"/>
  <c r="R135" i="6"/>
  <c r="R132" i="6"/>
  <c r="R127" i="6"/>
  <c r="R131" i="6"/>
  <c r="Q151" i="6"/>
  <c r="Q152" i="6" s="1"/>
  <c r="R141" i="6"/>
  <c r="R142" i="6"/>
  <c r="R140" i="6"/>
  <c r="R143" i="6"/>
  <c r="Q123" i="6"/>
  <c r="Q124" i="6" s="1"/>
  <c r="Q125" i="6" s="1"/>
  <c r="S114" i="6"/>
  <c r="S128" i="6" l="1"/>
  <c r="S129" i="6"/>
  <c r="S121" i="6"/>
  <c r="S122" i="6"/>
  <c r="S148" i="6"/>
  <c r="S147" i="6"/>
  <c r="S150" i="6"/>
  <c r="S120" i="6"/>
  <c r="S119" i="6"/>
  <c r="S146" i="6"/>
  <c r="S149" i="6"/>
  <c r="S117" i="6"/>
  <c r="S118" i="6"/>
  <c r="S145" i="6"/>
  <c r="L157" i="6"/>
  <c r="L158" i="6"/>
  <c r="R136" i="6"/>
  <c r="N154" i="6"/>
  <c r="M156" i="6"/>
  <c r="Q137" i="6"/>
  <c r="Q153" i="6" s="1"/>
  <c r="S132" i="6"/>
  <c r="S131" i="6"/>
  <c r="S133" i="6"/>
  <c r="S134" i="6"/>
  <c r="S135" i="6"/>
  <c r="S127" i="6"/>
  <c r="R151" i="6"/>
  <c r="R152" i="6" s="1"/>
  <c r="S143" i="6"/>
  <c r="S142" i="6"/>
  <c r="S141" i="6"/>
  <c r="S140" i="6"/>
  <c r="R123" i="6"/>
  <c r="R124" i="6" s="1"/>
  <c r="R125" i="6" s="1"/>
  <c r="T114" i="6"/>
  <c r="T128" i="6" l="1"/>
  <c r="T129" i="6"/>
  <c r="T150" i="6"/>
  <c r="T121" i="6"/>
  <c r="T149" i="6"/>
  <c r="T148" i="6"/>
  <c r="T122" i="6"/>
  <c r="T147" i="6"/>
  <c r="T146" i="6"/>
  <c r="T145" i="6"/>
  <c r="T120" i="6"/>
  <c r="T117" i="6"/>
  <c r="T118" i="6"/>
  <c r="T119" i="6"/>
  <c r="M157" i="6"/>
  <c r="M158" i="6" s="1"/>
  <c r="S136" i="6"/>
  <c r="O154" i="6"/>
  <c r="N156" i="6"/>
  <c r="R137" i="6"/>
  <c r="R153" i="6" s="1"/>
  <c r="T135" i="6"/>
  <c r="T132" i="6"/>
  <c r="T131" i="6"/>
  <c r="T133" i="6"/>
  <c r="T127" i="6"/>
  <c r="T134" i="6"/>
  <c r="S151" i="6"/>
  <c r="S152" i="6" s="1"/>
  <c r="T143" i="6"/>
  <c r="T142" i="6"/>
  <c r="T141" i="6"/>
  <c r="T140" i="6"/>
  <c r="S123" i="6"/>
  <c r="S124" i="6" s="1"/>
  <c r="S125" i="6" s="1"/>
  <c r="U114" i="6"/>
  <c r="U128" i="6" l="1"/>
  <c r="U129" i="6"/>
  <c r="U150" i="6"/>
  <c r="U117" i="6"/>
  <c r="U149" i="6"/>
  <c r="U145" i="6"/>
  <c r="U121" i="6"/>
  <c r="U148" i="6"/>
  <c r="U147" i="6"/>
  <c r="U146" i="6"/>
  <c r="U118" i="6"/>
  <c r="U119" i="6"/>
  <c r="U122" i="6"/>
  <c r="U120" i="6"/>
  <c r="N157" i="6"/>
  <c r="N158" i="6" s="1"/>
  <c r="T136" i="6"/>
  <c r="S137" i="6"/>
  <c r="S153" i="6" s="1"/>
  <c r="P154" i="6"/>
  <c r="O156" i="6"/>
  <c r="U134" i="6"/>
  <c r="U135" i="6"/>
  <c r="U132" i="6"/>
  <c r="U131" i="6"/>
  <c r="U127" i="6"/>
  <c r="U133" i="6"/>
  <c r="T151" i="6"/>
  <c r="T152" i="6" s="1"/>
  <c r="U143" i="6"/>
  <c r="U140" i="6"/>
  <c r="U142" i="6"/>
  <c r="U141" i="6"/>
  <c r="T123" i="6"/>
  <c r="T124" i="6" s="1"/>
  <c r="T125" i="6" s="1"/>
  <c r="V114" i="6"/>
  <c r="V129" i="6" l="1"/>
  <c r="V149" i="6"/>
  <c r="V121" i="6"/>
  <c r="V119" i="6"/>
  <c r="V148" i="6"/>
  <c r="V150" i="6"/>
  <c r="V147" i="6"/>
  <c r="V146" i="6"/>
  <c r="V118" i="6"/>
  <c r="V117" i="6"/>
  <c r="V120" i="6"/>
  <c r="V122" i="6"/>
  <c r="V145" i="6"/>
  <c r="V128" i="6"/>
  <c r="O157" i="6"/>
  <c r="O158" i="6" s="1"/>
  <c r="U136" i="6"/>
  <c r="T137" i="6"/>
  <c r="T153" i="6" s="1"/>
  <c r="Q154" i="6"/>
  <c r="D14" i="6" s="1"/>
  <c r="P156" i="6"/>
  <c r="V133" i="6"/>
  <c r="V134" i="6"/>
  <c r="V135" i="6"/>
  <c r="V131" i="6"/>
  <c r="V132" i="6"/>
  <c r="V127" i="6"/>
  <c r="U151" i="6"/>
  <c r="U152" i="6" s="1"/>
  <c r="V140" i="6"/>
  <c r="V143" i="6"/>
  <c r="V142" i="6"/>
  <c r="V141" i="6"/>
  <c r="U123" i="6"/>
  <c r="U124" i="6" s="1"/>
  <c r="U125" i="6" s="1"/>
  <c r="W114" i="6"/>
  <c r="W128" i="6" l="1"/>
  <c r="W147" i="6"/>
  <c r="W150" i="6"/>
  <c r="W120" i="6"/>
  <c r="W119" i="6"/>
  <c r="W148" i="6"/>
  <c r="W146" i="6"/>
  <c r="W149" i="6"/>
  <c r="W122" i="6"/>
  <c r="W121" i="6"/>
  <c r="W117" i="6"/>
  <c r="W118" i="6"/>
  <c r="W145" i="6"/>
  <c r="W129" i="6"/>
  <c r="P157" i="6"/>
  <c r="P158" i="6" s="1"/>
  <c r="V136" i="6"/>
  <c r="U137" i="6"/>
  <c r="U153" i="6" s="1"/>
  <c r="R154" i="6"/>
  <c r="Q156" i="6"/>
  <c r="W132" i="6"/>
  <c r="W131" i="6"/>
  <c r="W133" i="6"/>
  <c r="W134" i="6"/>
  <c r="W135" i="6"/>
  <c r="W127" i="6"/>
  <c r="V151" i="6"/>
  <c r="V152" i="6" s="1"/>
  <c r="W143" i="6"/>
  <c r="W142" i="6"/>
  <c r="W141" i="6"/>
  <c r="W140" i="6"/>
  <c r="V123" i="6"/>
  <c r="V124" i="6" s="1"/>
  <c r="V125" i="6" s="1"/>
  <c r="X114" i="6"/>
  <c r="X128" i="6" l="1"/>
  <c r="X129" i="6"/>
  <c r="X122" i="6"/>
  <c r="X150" i="6"/>
  <c r="X120" i="6"/>
  <c r="X149" i="6"/>
  <c r="X148" i="6"/>
  <c r="X145" i="6"/>
  <c r="X147" i="6"/>
  <c r="X146" i="6"/>
  <c r="X121" i="6"/>
  <c r="X117" i="6"/>
  <c r="X118" i="6"/>
  <c r="X119" i="6"/>
  <c r="Q157" i="6"/>
  <c r="Q158" i="6" s="1"/>
  <c r="W136" i="6"/>
  <c r="V137" i="6"/>
  <c r="V153" i="6" s="1"/>
  <c r="S154" i="6"/>
  <c r="R156" i="6"/>
  <c r="X135" i="6"/>
  <c r="X132" i="6"/>
  <c r="X131" i="6"/>
  <c r="X133" i="6"/>
  <c r="X134" i="6"/>
  <c r="X127" i="6"/>
  <c r="W151" i="6"/>
  <c r="W152" i="6" s="1"/>
  <c r="X143" i="6"/>
  <c r="X142" i="6"/>
  <c r="X141" i="6"/>
  <c r="X140" i="6"/>
  <c r="W123" i="6"/>
  <c r="W124" i="6" s="1"/>
  <c r="W125" i="6" s="1"/>
  <c r="Y114" i="6"/>
  <c r="X123" i="6" l="1"/>
  <c r="Y128" i="6"/>
  <c r="Y129" i="6"/>
  <c r="Y145" i="6"/>
  <c r="Y150" i="6"/>
  <c r="Y118" i="6"/>
  <c r="Y149" i="6"/>
  <c r="Y120" i="6"/>
  <c r="Y148" i="6"/>
  <c r="Y147" i="6"/>
  <c r="Y146" i="6"/>
  <c r="Y117" i="6"/>
  <c r="Y122" i="6"/>
  <c r="Y121" i="6"/>
  <c r="Y119" i="6"/>
  <c r="R157" i="6"/>
  <c r="R158" i="6" s="1"/>
  <c r="X136" i="6"/>
  <c r="W137" i="6"/>
  <c r="W153" i="6" s="1"/>
  <c r="T154" i="6"/>
  <c r="S156" i="6"/>
  <c r="Y134" i="6"/>
  <c r="Y135" i="6"/>
  <c r="Y132" i="6"/>
  <c r="Y131" i="6"/>
  <c r="Y127" i="6"/>
  <c r="Y133" i="6"/>
  <c r="X151" i="6"/>
  <c r="X152" i="6" s="1"/>
  <c r="Y142" i="6"/>
  <c r="Y141" i="6"/>
  <c r="Y143" i="6"/>
  <c r="Y140" i="6"/>
  <c r="X124" i="6"/>
  <c r="X125" i="6" s="1"/>
  <c r="Z114" i="6"/>
  <c r="Z128" i="6" l="1"/>
  <c r="Z129" i="6"/>
  <c r="Z119" i="6"/>
  <c r="Z149" i="6"/>
  <c r="Z118" i="6"/>
  <c r="Z148" i="6"/>
  <c r="Z150" i="6"/>
  <c r="Z145" i="6"/>
  <c r="Z121" i="6"/>
  <c r="Z120" i="6"/>
  <c r="Z117" i="6"/>
  <c r="Z122" i="6"/>
  <c r="Z147" i="6"/>
  <c r="Z146" i="6"/>
  <c r="S157" i="6"/>
  <c r="S158" i="6" s="1"/>
  <c r="Y136" i="6"/>
  <c r="U154" i="6"/>
  <c r="T156" i="6"/>
  <c r="X137" i="6"/>
  <c r="X153" i="6" s="1"/>
  <c r="Z133" i="6"/>
  <c r="Z134" i="6"/>
  <c r="Z135" i="6"/>
  <c r="Z131" i="6"/>
  <c r="Z132" i="6"/>
  <c r="Z127" i="6"/>
  <c r="Y151" i="6"/>
  <c r="Y152" i="6" s="1"/>
  <c r="Z142" i="6"/>
  <c r="Z143" i="6"/>
  <c r="Z140" i="6"/>
  <c r="Z141" i="6"/>
  <c r="Y123" i="6"/>
  <c r="Y124" i="6" s="1"/>
  <c r="Y125" i="6" s="1"/>
  <c r="AA114" i="6"/>
  <c r="AA128" i="6" l="1"/>
  <c r="AA129" i="6"/>
  <c r="AA147" i="6"/>
  <c r="AA146" i="6"/>
  <c r="AA149" i="6"/>
  <c r="AA119" i="6"/>
  <c r="AA150" i="6"/>
  <c r="AA148" i="6"/>
  <c r="AA120" i="6"/>
  <c r="AA121" i="6"/>
  <c r="AA117" i="6"/>
  <c r="AA145" i="6"/>
  <c r="AA122" i="6"/>
  <c r="AA118" i="6"/>
  <c r="T157" i="6"/>
  <c r="T158" i="6" s="1"/>
  <c r="Z136" i="6"/>
  <c r="Y137" i="6"/>
  <c r="Y153" i="6" s="1"/>
  <c r="V154" i="6"/>
  <c r="U156" i="6"/>
  <c r="AA132" i="6"/>
  <c r="AA131" i="6"/>
  <c r="AA133" i="6"/>
  <c r="AA134" i="6"/>
  <c r="AA135" i="6"/>
  <c r="AA127" i="6"/>
  <c r="Z151" i="6"/>
  <c r="Z152" i="6" s="1"/>
  <c r="AA143" i="6"/>
  <c r="AA142" i="6"/>
  <c r="AA141" i="6"/>
  <c r="AA140" i="6"/>
  <c r="Z123" i="6"/>
  <c r="Z124" i="6" s="1"/>
  <c r="Z125" i="6" s="1"/>
  <c r="AB114" i="6"/>
  <c r="AB128" i="6" l="1"/>
  <c r="AB129" i="6"/>
  <c r="AB147" i="6"/>
  <c r="AB145" i="6"/>
  <c r="AB117" i="6"/>
  <c r="AB150" i="6"/>
  <c r="AB148" i="6"/>
  <c r="AB146" i="6"/>
  <c r="AB121" i="6"/>
  <c r="AB149" i="6"/>
  <c r="AB122" i="6"/>
  <c r="AB120" i="6"/>
  <c r="AB119" i="6"/>
  <c r="AB118" i="6"/>
  <c r="U157" i="6"/>
  <c r="U158" i="6" s="1"/>
  <c r="AA136" i="6"/>
  <c r="W154" i="6"/>
  <c r="V156" i="6"/>
  <c r="Z137" i="6"/>
  <c r="Z153" i="6" s="1"/>
  <c r="AB135" i="6"/>
  <c r="AB132" i="6"/>
  <c r="AB131" i="6"/>
  <c r="AB133" i="6"/>
  <c r="AB127" i="6"/>
  <c r="AB134" i="6"/>
  <c r="AA151" i="6"/>
  <c r="AA152" i="6" s="1"/>
  <c r="AB143" i="6"/>
  <c r="AB142" i="6"/>
  <c r="AB140" i="6"/>
  <c r="AB141" i="6"/>
  <c r="AA123" i="6"/>
  <c r="AA124" i="6" s="1"/>
  <c r="AA125" i="6" s="1"/>
  <c r="AC114" i="6"/>
  <c r="AC129" i="6" l="1"/>
  <c r="AC121" i="6"/>
  <c r="AC120" i="6"/>
  <c r="AC118" i="6"/>
  <c r="AC150" i="6"/>
  <c r="AC117" i="6"/>
  <c r="AC149" i="6"/>
  <c r="AC145" i="6"/>
  <c r="AC122" i="6"/>
  <c r="AC119" i="6"/>
  <c r="AC146" i="6"/>
  <c r="AC147" i="6"/>
  <c r="AC148" i="6"/>
  <c r="AC128" i="6"/>
  <c r="V157" i="6"/>
  <c r="V158" i="6" s="1"/>
  <c r="AB136" i="6"/>
  <c r="AA137" i="6"/>
  <c r="AA153" i="6" s="1"/>
  <c r="X154" i="6"/>
  <c r="W156" i="6"/>
  <c r="AC134" i="6"/>
  <c r="AC135" i="6"/>
  <c r="AC132" i="6"/>
  <c r="AC131" i="6"/>
  <c r="AC133" i="6"/>
  <c r="AC127" i="6"/>
  <c r="AB151" i="6"/>
  <c r="AB152" i="6" s="1"/>
  <c r="AC143" i="6"/>
  <c r="AC141" i="6"/>
  <c r="AC140" i="6"/>
  <c r="AC142" i="6"/>
  <c r="AB123" i="6"/>
  <c r="AB124" i="6" s="1"/>
  <c r="AB125" i="6" s="1"/>
  <c r="AD114" i="6"/>
  <c r="AD128" i="6" l="1"/>
  <c r="AD148" i="6"/>
  <c r="AD150" i="6"/>
  <c r="AD119" i="6"/>
  <c r="AD120" i="6"/>
  <c r="AD118" i="6"/>
  <c r="AD149" i="6"/>
  <c r="AD145" i="6"/>
  <c r="AD121" i="6"/>
  <c r="AD117" i="6"/>
  <c r="AD122" i="6"/>
  <c r="AD146" i="6"/>
  <c r="AD147" i="6"/>
  <c r="AD129" i="6"/>
  <c r="W157" i="6"/>
  <c r="W158" i="6" s="1"/>
  <c r="AC136" i="6"/>
  <c r="Y154" i="6"/>
  <c r="X156" i="6"/>
  <c r="AB137" i="6"/>
  <c r="AB153" i="6" s="1"/>
  <c r="AD133" i="6"/>
  <c r="AD134" i="6"/>
  <c r="AD135" i="6"/>
  <c r="AD131" i="6"/>
  <c r="AD127" i="6"/>
  <c r="AD132" i="6"/>
  <c r="AC151" i="6"/>
  <c r="AC152" i="6" s="1"/>
  <c r="AD143" i="6"/>
  <c r="AD141" i="6"/>
  <c r="AD142" i="6"/>
  <c r="AD140" i="6"/>
  <c r="AC123" i="6"/>
  <c r="AC124" i="6" s="1"/>
  <c r="AC125" i="6" s="1"/>
  <c r="AE114" i="6"/>
  <c r="AE128" i="6" l="1"/>
  <c r="AE129" i="6"/>
  <c r="AE147" i="6"/>
  <c r="AE146" i="6"/>
  <c r="AE148" i="6"/>
  <c r="AE150" i="6"/>
  <c r="AE122" i="6"/>
  <c r="AE149" i="6"/>
  <c r="AE120" i="6"/>
  <c r="AE145" i="6"/>
  <c r="AE119" i="6"/>
  <c r="AE121" i="6"/>
  <c r="AE117" i="6"/>
  <c r="AE118" i="6"/>
  <c r="X157" i="6"/>
  <c r="X158" i="6" s="1"/>
  <c r="AD136" i="6"/>
  <c r="Z154" i="6"/>
  <c r="Y156" i="6"/>
  <c r="AC137" i="6"/>
  <c r="AC153" i="6" s="1"/>
  <c r="AE132" i="6"/>
  <c r="AE131" i="6"/>
  <c r="AE133" i="6"/>
  <c r="AE134" i="6"/>
  <c r="AE135" i="6"/>
  <c r="AE127" i="6"/>
  <c r="AD151" i="6"/>
  <c r="AD152" i="6" s="1"/>
  <c r="AE143" i="6"/>
  <c r="AE142" i="6"/>
  <c r="AE141" i="6"/>
  <c r="AE140" i="6"/>
  <c r="AD123" i="6"/>
  <c r="AD124" i="6" s="1"/>
  <c r="AF114" i="6"/>
  <c r="AF128" i="6" s="1"/>
  <c r="AE123" i="6" l="1"/>
  <c r="AF129" i="6"/>
  <c r="AF149" i="6"/>
  <c r="AF147" i="6"/>
  <c r="AF146" i="6"/>
  <c r="AF145" i="6"/>
  <c r="AF117" i="6"/>
  <c r="AF121" i="6"/>
  <c r="AF122" i="6"/>
  <c r="AF150" i="6"/>
  <c r="AF119" i="6"/>
  <c r="AF120" i="6"/>
  <c r="AF118" i="6"/>
  <c r="AF148" i="6"/>
  <c r="Y157" i="6"/>
  <c r="Y158" i="6" s="1"/>
  <c r="AE136" i="6"/>
  <c r="AA154" i="6"/>
  <c r="Z156" i="6"/>
  <c r="AF135" i="6"/>
  <c r="AF132" i="6"/>
  <c r="AF131" i="6"/>
  <c r="AF133" i="6"/>
  <c r="AF127" i="6"/>
  <c r="AF134" i="6"/>
  <c r="AE151" i="6"/>
  <c r="AE152" i="6" s="1"/>
  <c r="AF143" i="6"/>
  <c r="AF142" i="6"/>
  <c r="AF140" i="6"/>
  <c r="AF141" i="6"/>
  <c r="AE124" i="6"/>
  <c r="AE125" i="6" s="1"/>
  <c r="AD125" i="6"/>
  <c r="AG114" i="6"/>
  <c r="AG128" i="6" l="1"/>
  <c r="AG149" i="6"/>
  <c r="AG147" i="6"/>
  <c r="AG146" i="6"/>
  <c r="AG117" i="6"/>
  <c r="AG121" i="6"/>
  <c r="AG145" i="6"/>
  <c r="AG150" i="6"/>
  <c r="AG118" i="6"/>
  <c r="AG122" i="6"/>
  <c r="AG119" i="6"/>
  <c r="AG120" i="6"/>
  <c r="AG148" i="6"/>
  <c r="AG129" i="6"/>
  <c r="Z157" i="6"/>
  <c r="Z158" i="6" s="1"/>
  <c r="AF136" i="6"/>
  <c r="AE137" i="6"/>
  <c r="AE153" i="6" s="1"/>
  <c r="AB154" i="6"/>
  <c r="AA156" i="6"/>
  <c r="AD137" i="6"/>
  <c r="AD153" i="6" s="1"/>
  <c r="AG134" i="6"/>
  <c r="AG135" i="6"/>
  <c r="AG132" i="6"/>
  <c r="AG131" i="6"/>
  <c r="AG133" i="6"/>
  <c r="AG127" i="6"/>
  <c r="AF151" i="6"/>
  <c r="AF152" i="6" s="1"/>
  <c r="AG142" i="6"/>
  <c r="AG140" i="6"/>
  <c r="AG143" i="6"/>
  <c r="AG141" i="6"/>
  <c r="AF123" i="6"/>
  <c r="AF124" i="6" s="1"/>
  <c r="AF125" i="6" s="1"/>
  <c r="AH114" i="6"/>
  <c r="AH128" i="6" l="1"/>
  <c r="AH129" i="6"/>
  <c r="AH148" i="6"/>
  <c r="AH147" i="6"/>
  <c r="AH118" i="6"/>
  <c r="AH150" i="6"/>
  <c r="AH145" i="6"/>
  <c r="AH121" i="6"/>
  <c r="AH149" i="6"/>
  <c r="AH146" i="6"/>
  <c r="AH119" i="6"/>
  <c r="AH120" i="6"/>
  <c r="AH117" i="6"/>
  <c r="AH122" i="6"/>
  <c r="AA157" i="6"/>
  <c r="AA158" i="6" s="1"/>
  <c r="AG136" i="6"/>
  <c r="AF137" i="6"/>
  <c r="AF153" i="6" s="1"/>
  <c r="AC154" i="6"/>
  <c r="AB156" i="6"/>
  <c r="AH133" i="6"/>
  <c r="AH134" i="6"/>
  <c r="AH135" i="6"/>
  <c r="AH132" i="6"/>
  <c r="AH127" i="6"/>
  <c r="AH131" i="6"/>
  <c r="AG151" i="6"/>
  <c r="AG152" i="6" s="1"/>
  <c r="AH141" i="6"/>
  <c r="AH142" i="6"/>
  <c r="AH140" i="6"/>
  <c r="AH143" i="6"/>
  <c r="AG123" i="6"/>
  <c r="AG124" i="6" s="1"/>
  <c r="AG125" i="6" s="1"/>
  <c r="AI114" i="6"/>
  <c r="AH123" i="6" l="1"/>
  <c r="AI128" i="6"/>
  <c r="AI129" i="6"/>
  <c r="AI148" i="6"/>
  <c r="AI149" i="6"/>
  <c r="AI122" i="6"/>
  <c r="AI147" i="6"/>
  <c r="AI146" i="6"/>
  <c r="AI120" i="6"/>
  <c r="AI145" i="6"/>
  <c r="AI150" i="6"/>
  <c r="AI121" i="6"/>
  <c r="AI119" i="6"/>
  <c r="AI117" i="6"/>
  <c r="AI118" i="6"/>
  <c r="AB157" i="6"/>
  <c r="AB158" i="6" s="1"/>
  <c r="AH136" i="6"/>
  <c r="AD154" i="6"/>
  <c r="AC156" i="6"/>
  <c r="AG137" i="6"/>
  <c r="AG153" i="6" s="1"/>
  <c r="AI132" i="6"/>
  <c r="AI131" i="6"/>
  <c r="AI133" i="6"/>
  <c r="AI134" i="6"/>
  <c r="AI135" i="6"/>
  <c r="AI127" i="6"/>
  <c r="AH151" i="6"/>
  <c r="AH152" i="6" s="1"/>
  <c r="AI143" i="6"/>
  <c r="AI142" i="6"/>
  <c r="AI141" i="6"/>
  <c r="AI140" i="6"/>
  <c r="AH124" i="6"/>
  <c r="AH125" i="6" s="1"/>
  <c r="AJ114" i="6"/>
  <c r="AJ128" i="6" l="1"/>
  <c r="AJ129" i="6"/>
  <c r="AJ150" i="6"/>
  <c r="AJ121" i="6"/>
  <c r="AJ120" i="6"/>
  <c r="AJ149" i="6"/>
  <c r="AJ148" i="6"/>
  <c r="AJ147" i="6"/>
  <c r="AJ146" i="6"/>
  <c r="AJ122" i="6"/>
  <c r="AJ119" i="6"/>
  <c r="AJ145" i="6"/>
  <c r="AJ117" i="6"/>
  <c r="AJ118" i="6"/>
  <c r="AC157" i="6"/>
  <c r="AC158" i="6" s="1"/>
  <c r="AI136" i="6"/>
  <c r="AE154" i="6"/>
  <c r="AD156" i="6"/>
  <c r="AH137" i="6"/>
  <c r="AH153" i="6" s="1"/>
  <c r="AJ135" i="6"/>
  <c r="AJ132" i="6"/>
  <c r="AJ131" i="6"/>
  <c r="AJ133" i="6"/>
  <c r="AJ127" i="6"/>
  <c r="AJ134" i="6"/>
  <c r="AI151" i="6"/>
  <c r="AI152" i="6" s="1"/>
  <c r="AJ143" i="6"/>
  <c r="AJ142" i="6"/>
  <c r="AJ141" i="6"/>
  <c r="AJ140" i="6"/>
  <c r="AI123" i="6"/>
  <c r="AI124" i="6" s="1"/>
  <c r="AI125" i="6" s="1"/>
  <c r="AK114" i="6"/>
  <c r="AK128" i="6" l="1"/>
  <c r="AK129" i="6"/>
  <c r="AK150" i="6"/>
  <c r="AK117" i="6"/>
  <c r="AK149" i="6"/>
  <c r="AK148" i="6"/>
  <c r="AK145" i="6"/>
  <c r="AK147" i="6"/>
  <c r="AK146" i="6"/>
  <c r="AK119" i="6"/>
  <c r="AK118" i="6"/>
  <c r="AK121" i="6"/>
  <c r="AK120" i="6"/>
  <c r="AK122" i="6"/>
  <c r="AD157" i="6"/>
  <c r="AD158" i="6" s="1"/>
  <c r="AJ136" i="6"/>
  <c r="AI137" i="6"/>
  <c r="AI153" i="6" s="1"/>
  <c r="AF154" i="6"/>
  <c r="AE156" i="6"/>
  <c r="AK134" i="6"/>
  <c r="AK135" i="6"/>
  <c r="AK132" i="6"/>
  <c r="AK131" i="6"/>
  <c r="AK127" i="6"/>
  <c r="AK133" i="6"/>
  <c r="AJ151" i="6"/>
  <c r="AJ152" i="6" s="1"/>
  <c r="AK143" i="6"/>
  <c r="AK142" i="6"/>
  <c r="AK140" i="6"/>
  <c r="AK141" i="6"/>
  <c r="AJ123" i="6"/>
  <c r="AJ124" i="6" s="1"/>
  <c r="AJ125" i="6" s="1"/>
  <c r="AL114" i="6"/>
  <c r="AL128" i="6" l="1"/>
  <c r="AL129" i="6"/>
  <c r="AL149" i="6"/>
  <c r="AL146" i="6"/>
  <c r="AL145" i="6"/>
  <c r="AL121" i="6"/>
  <c r="AL148" i="6"/>
  <c r="AL150" i="6"/>
  <c r="AL147" i="6"/>
  <c r="AL119" i="6"/>
  <c r="AL118" i="6"/>
  <c r="AL122" i="6"/>
  <c r="AL120" i="6"/>
  <c r="AL117" i="6"/>
  <c r="AE157" i="6"/>
  <c r="AE158" i="6" s="1"/>
  <c r="AK136" i="6"/>
  <c r="AJ137" i="6"/>
  <c r="AJ153" i="6" s="1"/>
  <c r="AG154" i="6"/>
  <c r="AF156" i="6"/>
  <c r="AL133" i="6"/>
  <c r="AL134" i="6"/>
  <c r="AL135" i="6"/>
  <c r="AL131" i="6"/>
  <c r="AL132" i="6"/>
  <c r="AL127" i="6"/>
  <c r="AK151" i="6"/>
  <c r="AK152" i="6" s="1"/>
  <c r="AL140" i="6"/>
  <c r="AL143" i="6"/>
  <c r="AL141" i="6"/>
  <c r="AL142" i="6"/>
  <c r="AK123" i="6"/>
  <c r="AK124" i="6" s="1"/>
  <c r="AK125" i="6" s="1"/>
  <c r="AM114" i="6"/>
  <c r="AM128" i="6" l="1"/>
  <c r="AM129" i="6"/>
  <c r="AM149" i="6"/>
  <c r="AM120" i="6"/>
  <c r="AM150" i="6"/>
  <c r="AM147" i="6"/>
  <c r="AM146" i="6"/>
  <c r="AM148" i="6"/>
  <c r="AM145" i="6"/>
  <c r="AM122" i="6"/>
  <c r="AM121" i="6"/>
  <c r="AM117" i="6"/>
  <c r="AM118" i="6"/>
  <c r="AM119" i="6"/>
  <c r="AF157" i="6"/>
  <c r="AF158" i="6" s="1"/>
  <c r="AL136" i="6"/>
  <c r="AK137" i="6"/>
  <c r="AK153" i="6" s="1"/>
  <c r="AH154" i="6"/>
  <c r="AG156" i="6"/>
  <c r="AM132" i="6"/>
  <c r="AM131" i="6"/>
  <c r="AM133" i="6"/>
  <c r="AM134" i="6"/>
  <c r="AM135" i="6"/>
  <c r="AM127" i="6"/>
  <c r="AL151" i="6"/>
  <c r="AL152" i="6" s="1"/>
  <c r="AM143" i="6"/>
  <c r="AM142" i="6"/>
  <c r="AM141" i="6"/>
  <c r="AM140" i="6"/>
  <c r="AL123" i="6"/>
  <c r="D124" i="6"/>
  <c r="AN114" i="6"/>
  <c r="AN128" i="6" l="1"/>
  <c r="AN129" i="6"/>
  <c r="AN122" i="6"/>
  <c r="AN150" i="6"/>
  <c r="AN149" i="6"/>
  <c r="AN148" i="6"/>
  <c r="AN147" i="6"/>
  <c r="AN146" i="6"/>
  <c r="AN145" i="6"/>
  <c r="AN120" i="6"/>
  <c r="AN121" i="6"/>
  <c r="AN119" i="6"/>
  <c r="AN118" i="6"/>
  <c r="AN117" i="6"/>
  <c r="AG157" i="6"/>
  <c r="AG158" i="6" s="1"/>
  <c r="AM136" i="6"/>
  <c r="AI154" i="6"/>
  <c r="AH156" i="6"/>
  <c r="AN135" i="6"/>
  <c r="AN132" i="6"/>
  <c r="AN131" i="6"/>
  <c r="AN133" i="6"/>
  <c r="AN134" i="6"/>
  <c r="AN127" i="6"/>
  <c r="AM151" i="6"/>
  <c r="AM152" i="6" s="1"/>
  <c r="AN143" i="6"/>
  <c r="AN142" i="6"/>
  <c r="AN141" i="6"/>
  <c r="AN140" i="6"/>
  <c r="AM123" i="6"/>
  <c r="AL124" i="6"/>
  <c r="AO114" i="6"/>
  <c r="AO128" i="6" l="1"/>
  <c r="AO129" i="6"/>
  <c r="AO145" i="6"/>
  <c r="AO150" i="6"/>
  <c r="AO119" i="6"/>
  <c r="AO118" i="6"/>
  <c r="AO149" i="6"/>
  <c r="AO148" i="6"/>
  <c r="AO147" i="6"/>
  <c r="AO146" i="6"/>
  <c r="AO120" i="6"/>
  <c r="AO117" i="6"/>
  <c r="AO121" i="6"/>
  <c r="AO122" i="6"/>
  <c r="AH157" i="6"/>
  <c r="AH158" i="6"/>
  <c r="AN136" i="6"/>
  <c r="AJ154" i="6"/>
  <c r="AI156" i="6"/>
  <c r="AO134" i="6"/>
  <c r="AO135" i="6"/>
  <c r="AO132" i="6"/>
  <c r="AO131" i="6"/>
  <c r="AO127" i="6"/>
  <c r="AO133" i="6"/>
  <c r="AN151" i="6"/>
  <c r="AN152" i="6" s="1"/>
  <c r="AO142" i="6"/>
  <c r="AO141" i="6"/>
  <c r="AO143" i="6"/>
  <c r="AO140" i="6"/>
  <c r="AN123" i="6"/>
  <c r="AN124" i="6" s="1"/>
  <c r="AN125" i="6" s="1"/>
  <c r="AL125" i="6"/>
  <c r="AP114" i="6"/>
  <c r="AM124" i="6"/>
  <c r="AP128" i="6" l="1"/>
  <c r="AP129" i="6"/>
  <c r="AP149" i="6"/>
  <c r="AP147" i="6"/>
  <c r="AP119" i="6"/>
  <c r="AP148" i="6"/>
  <c r="AP118" i="6"/>
  <c r="AP150" i="6"/>
  <c r="AP146" i="6"/>
  <c r="AP145" i="6"/>
  <c r="AP121" i="6"/>
  <c r="AP117" i="6"/>
  <c r="AP122" i="6"/>
  <c r="AP120" i="6"/>
  <c r="AI157" i="6"/>
  <c r="AI158" i="6"/>
  <c r="AO136" i="6"/>
  <c r="AK154" i="6"/>
  <c r="AJ156" i="6"/>
  <c r="AL137" i="6"/>
  <c r="AL153" i="6" s="1"/>
  <c r="AN137" i="6"/>
  <c r="AN153" i="6" s="1"/>
  <c r="AP133" i="6"/>
  <c r="AP134" i="6"/>
  <c r="AP135" i="6"/>
  <c r="AP131" i="6"/>
  <c r="AP132" i="6"/>
  <c r="AP127" i="6"/>
  <c r="AO151" i="6"/>
  <c r="AO152" i="6" s="1"/>
  <c r="AP142" i="6"/>
  <c r="AP140" i="6"/>
  <c r="AP141" i="6"/>
  <c r="AP143" i="6"/>
  <c r="AO123" i="6"/>
  <c r="AO124" i="6" s="1"/>
  <c r="AO125" i="6" s="1"/>
  <c r="AM125" i="6"/>
  <c r="AQ114" i="6"/>
  <c r="AQ149" i="6" l="1"/>
  <c r="AQ150" i="6"/>
  <c r="AQ146" i="6"/>
  <c r="AQ147" i="6"/>
  <c r="AQ148" i="6"/>
  <c r="AQ121" i="6"/>
  <c r="AQ117" i="6"/>
  <c r="AQ145" i="6"/>
  <c r="AQ118" i="6"/>
  <c r="AQ152" i="6"/>
  <c r="AQ119" i="6"/>
  <c r="AQ128" i="6"/>
  <c r="AQ129" i="6"/>
  <c r="AQ120" i="6"/>
  <c r="AQ122" i="6"/>
  <c r="AJ157" i="6"/>
  <c r="AJ158" i="6"/>
  <c r="AQ158" i="6"/>
  <c r="AQ153" i="6"/>
  <c r="AP136" i="6"/>
  <c r="AO137" i="6"/>
  <c r="AO153" i="6" s="1"/>
  <c r="AL154" i="6"/>
  <c r="AK156" i="6"/>
  <c r="AM137" i="6"/>
  <c r="AM153" i="6" s="1"/>
  <c r="AQ132" i="6"/>
  <c r="AQ131" i="6"/>
  <c r="AQ133" i="6"/>
  <c r="AQ134" i="6"/>
  <c r="AQ135" i="6"/>
  <c r="AQ127" i="6"/>
  <c r="AP151" i="6"/>
  <c r="AP152" i="6" s="1"/>
  <c r="AQ143" i="6"/>
  <c r="AQ142" i="6"/>
  <c r="AQ141" i="6"/>
  <c r="AQ140" i="6"/>
  <c r="AP123" i="6"/>
  <c r="AP124" i="6" s="1"/>
  <c r="AR114" i="6"/>
  <c r="AR148" i="6" l="1"/>
  <c r="AR149" i="6"/>
  <c r="AR150" i="6"/>
  <c r="AR146" i="6"/>
  <c r="AR147" i="6"/>
  <c r="AR145" i="6"/>
  <c r="AR118" i="6"/>
  <c r="AR152" i="6"/>
  <c r="AR119" i="6"/>
  <c r="AR128" i="6"/>
  <c r="AR129" i="6"/>
  <c r="AR120" i="6"/>
  <c r="AR122" i="6"/>
  <c r="AR121" i="6"/>
  <c r="AR117" i="6"/>
  <c r="AP125" i="6"/>
  <c r="AR158" i="6"/>
  <c r="AR153" i="6"/>
  <c r="AK157" i="6"/>
  <c r="AK158" i="6"/>
  <c r="AQ136" i="6"/>
  <c r="AM154" i="6"/>
  <c r="AL156" i="6"/>
  <c r="AP137" i="6"/>
  <c r="AP153" i="6" s="1"/>
  <c r="AR135" i="6"/>
  <c r="AR132" i="6"/>
  <c r="AR131" i="6"/>
  <c r="AR133" i="6"/>
  <c r="AR127" i="6"/>
  <c r="AR134" i="6"/>
  <c r="AQ151" i="6"/>
  <c r="AR143" i="6"/>
  <c r="AR140" i="6"/>
  <c r="AR141" i="6"/>
  <c r="AR142" i="6"/>
  <c r="AQ123" i="6"/>
  <c r="AQ124" i="6" s="1"/>
  <c r="AQ125" i="6" s="1"/>
  <c r="AS114" i="6"/>
  <c r="AS147" i="6" l="1"/>
  <c r="AS148" i="6"/>
  <c r="AS149" i="6"/>
  <c r="AS150" i="6"/>
  <c r="AS146" i="6"/>
  <c r="AS152" i="6"/>
  <c r="AS119" i="6"/>
  <c r="AS128" i="6"/>
  <c r="AS129" i="6"/>
  <c r="AS120" i="6"/>
  <c r="AS122" i="6"/>
  <c r="AS121" i="6"/>
  <c r="AS117" i="6"/>
  <c r="AS145" i="6"/>
  <c r="AS118" i="6"/>
  <c r="AS158" i="6"/>
  <c r="AS153" i="6"/>
  <c r="AL157" i="6"/>
  <c r="AL158" i="6"/>
  <c r="AR136" i="6"/>
  <c r="AQ137" i="6"/>
  <c r="AN154" i="6"/>
  <c r="AM156" i="6"/>
  <c r="AM158" i="6" s="1"/>
  <c r="AS134" i="6"/>
  <c r="AS135" i="6"/>
  <c r="AS132" i="6"/>
  <c r="AS131" i="6"/>
  <c r="AS133" i="6"/>
  <c r="AS127" i="6"/>
  <c r="AR151" i="6"/>
  <c r="AS143" i="6"/>
  <c r="AS141" i="6"/>
  <c r="AS140" i="6"/>
  <c r="AS142" i="6"/>
  <c r="AR123" i="6"/>
  <c r="AR124" i="6" s="1"/>
  <c r="AR125" i="6" s="1"/>
  <c r="AT114" i="6"/>
  <c r="AT150" i="6" l="1"/>
  <c r="AT146" i="6"/>
  <c r="AT147" i="6"/>
  <c r="AT148" i="6"/>
  <c r="AT149" i="6"/>
  <c r="AT120" i="6"/>
  <c r="AT122" i="6"/>
  <c r="AT121" i="6"/>
  <c r="AT117" i="6"/>
  <c r="AT145" i="6"/>
  <c r="AT118" i="6"/>
  <c r="AT152" i="6"/>
  <c r="AT119" i="6"/>
  <c r="AT128" i="6"/>
  <c r="AT129" i="6"/>
  <c r="AT158" i="6"/>
  <c r="AT153" i="6"/>
  <c r="AS136" i="6"/>
  <c r="AR137" i="6"/>
  <c r="AM157" i="6"/>
  <c r="AT154" i="6"/>
  <c r="AT136" i="6"/>
  <c r="AT137" i="6"/>
  <c r="AO154" i="6"/>
  <c r="AN156" i="6"/>
  <c r="AN158" i="6" s="1"/>
  <c r="AT133" i="6"/>
  <c r="AT134" i="6"/>
  <c r="AT135" i="6"/>
  <c r="AT131" i="6"/>
  <c r="AT127" i="6"/>
  <c r="AT132" i="6"/>
  <c r="AT157" i="6"/>
  <c r="AT156" i="6"/>
  <c r="AT151" i="6"/>
  <c r="AS151" i="6"/>
  <c r="AT142" i="6"/>
  <c r="AT143" i="6"/>
  <c r="AT141" i="6"/>
  <c r="AT140" i="6"/>
  <c r="AS123" i="6"/>
  <c r="AS124" i="6" s="1"/>
  <c r="AS125" i="6" s="1"/>
  <c r="AT123" i="6"/>
  <c r="AT125" i="6"/>
  <c r="AT124" i="6"/>
  <c r="AU114" i="6"/>
  <c r="AU149" i="6" l="1"/>
  <c r="AU150" i="6"/>
  <c r="AU146" i="6"/>
  <c r="AU147" i="6"/>
  <c r="AU148" i="6"/>
  <c r="AU121" i="6"/>
  <c r="AU117" i="6"/>
  <c r="AU145" i="6"/>
  <c r="AU118" i="6"/>
  <c r="AU152" i="6"/>
  <c r="AU119" i="6"/>
  <c r="AU128" i="6"/>
  <c r="AU129" i="6"/>
  <c r="AU120" i="6"/>
  <c r="AU122" i="6"/>
  <c r="AU158" i="6"/>
  <c r="AU153" i="6"/>
  <c r="AU137" i="6"/>
  <c r="AU136" i="6"/>
  <c r="AU154" i="6"/>
  <c r="AP154" i="6"/>
  <c r="AO156" i="6"/>
  <c r="AO158" i="6" s="1"/>
  <c r="AS137" i="6"/>
  <c r="AN157" i="6"/>
  <c r="AU132" i="6"/>
  <c r="AU131" i="6"/>
  <c r="AU133" i="6"/>
  <c r="AU134" i="6"/>
  <c r="AU135" i="6"/>
  <c r="AU127" i="6"/>
  <c r="AU157" i="6"/>
  <c r="AU156" i="6"/>
  <c r="AU151" i="6"/>
  <c r="AU143" i="6"/>
  <c r="AU142" i="6"/>
  <c r="AU141" i="6"/>
  <c r="AU140" i="6"/>
  <c r="AU123" i="6"/>
  <c r="AU125" i="6"/>
  <c r="AU124" i="6"/>
  <c r="AV114" i="6"/>
  <c r="AV148" i="6" l="1"/>
  <c r="AV149" i="6"/>
  <c r="AV150" i="6"/>
  <c r="AV146" i="6"/>
  <c r="AV147" i="6"/>
  <c r="AV145" i="6"/>
  <c r="AV118" i="6"/>
  <c r="AV152" i="6"/>
  <c r="AV119" i="6"/>
  <c r="AV128" i="6"/>
  <c r="AV129" i="6"/>
  <c r="AV120" i="6"/>
  <c r="AV122" i="6"/>
  <c r="AV121" i="6"/>
  <c r="AV117" i="6"/>
  <c r="AV158" i="6"/>
  <c r="AV153" i="6"/>
  <c r="AO157" i="6"/>
  <c r="AV137" i="6"/>
  <c r="AV136" i="6"/>
  <c r="AV154" i="6"/>
  <c r="AQ154" i="6"/>
  <c r="AP156" i="6"/>
  <c r="AV135" i="6"/>
  <c r="AV132" i="6"/>
  <c r="AV131" i="6"/>
  <c r="AV133" i="6"/>
  <c r="AV127" i="6"/>
  <c r="AV134" i="6"/>
  <c r="AV157" i="6"/>
  <c r="AV156" i="6"/>
  <c r="AV151" i="6"/>
  <c r="AV143" i="6"/>
  <c r="AV142" i="6"/>
  <c r="AV140" i="6"/>
  <c r="AV141" i="6"/>
  <c r="AV123" i="6"/>
  <c r="AV125" i="6"/>
  <c r="AV124" i="6"/>
  <c r="AW114" i="6"/>
  <c r="AW147" i="6" l="1"/>
  <c r="AW148" i="6"/>
  <c r="AW149" i="6"/>
  <c r="AW150" i="6"/>
  <c r="AW146" i="6"/>
  <c r="AW152" i="6"/>
  <c r="AW119" i="6"/>
  <c r="AW128" i="6"/>
  <c r="AW129" i="6"/>
  <c r="AW120" i="6"/>
  <c r="AW122" i="6"/>
  <c r="AW121" i="6"/>
  <c r="AW117" i="6"/>
  <c r="AW145" i="6"/>
  <c r="AW118" i="6"/>
  <c r="AW158" i="6"/>
  <c r="AW153" i="6"/>
  <c r="AP157" i="6"/>
  <c r="AP158" i="6"/>
  <c r="D17" i="6" s="1"/>
  <c r="AR154" i="6"/>
  <c r="AQ156" i="6"/>
  <c r="AW154" i="6"/>
  <c r="AW136" i="6"/>
  <c r="AW137" i="6"/>
  <c r="AW134" i="6"/>
  <c r="AW135" i="6"/>
  <c r="AW132" i="6"/>
  <c r="AW131" i="6"/>
  <c r="AW133" i="6"/>
  <c r="AW127" i="6"/>
  <c r="AW157" i="6"/>
  <c r="AW156" i="6"/>
  <c r="AW151" i="6"/>
  <c r="AW140" i="6"/>
  <c r="AW143" i="6"/>
  <c r="AW141" i="6"/>
  <c r="AW142" i="6"/>
  <c r="AW123" i="6"/>
  <c r="AW125" i="6"/>
  <c r="AW124" i="6"/>
  <c r="AX114" i="6"/>
  <c r="AX150" i="6" l="1"/>
  <c r="AX146" i="6"/>
  <c r="AX147" i="6"/>
  <c r="AX148" i="6"/>
  <c r="AX149" i="6"/>
  <c r="AX120" i="6"/>
  <c r="AX122" i="6"/>
  <c r="AX121" i="6"/>
  <c r="AX117" i="6"/>
  <c r="AX145" i="6"/>
  <c r="AX118" i="6"/>
  <c r="AX152" i="6"/>
  <c r="AX119" i="6"/>
  <c r="AX128" i="6"/>
  <c r="AX129" i="6"/>
  <c r="AX158" i="6"/>
  <c r="AX153" i="6"/>
  <c r="AQ157" i="6"/>
  <c r="AX154" i="6"/>
  <c r="AX137" i="6"/>
  <c r="AX136" i="6"/>
  <c r="AS154" i="6"/>
  <c r="AS156" i="6" s="1"/>
  <c r="AR156" i="6"/>
  <c r="AX133" i="6"/>
  <c r="AX134" i="6"/>
  <c r="AX135" i="6"/>
  <c r="AX132" i="6"/>
  <c r="AX127" i="6"/>
  <c r="AX131" i="6"/>
  <c r="AX157" i="6"/>
  <c r="AX156" i="6"/>
  <c r="AX151" i="6"/>
  <c r="AX141" i="6"/>
  <c r="AX140" i="6"/>
  <c r="AX142" i="6"/>
  <c r="AX143" i="6"/>
  <c r="AX123" i="6"/>
  <c r="AX125" i="6"/>
  <c r="AX124" i="6"/>
  <c r="AY114" i="6"/>
  <c r="AY149" i="6" l="1"/>
  <c r="AY150" i="6"/>
  <c r="AY146" i="6"/>
  <c r="AY147" i="6"/>
  <c r="AY148" i="6"/>
  <c r="AY121" i="6"/>
  <c r="AY117" i="6"/>
  <c r="AY145" i="6"/>
  <c r="AY118" i="6"/>
  <c r="AY152" i="6"/>
  <c r="AY119" i="6"/>
  <c r="AY128" i="6"/>
  <c r="AY129" i="6"/>
  <c r="AY120" i="6"/>
  <c r="AY122" i="6"/>
  <c r="AY158" i="6"/>
  <c r="AY153" i="6"/>
  <c r="AY137" i="6"/>
  <c r="AY136" i="6"/>
  <c r="AY154" i="6"/>
  <c r="AR157" i="6"/>
  <c r="AS157" i="6" s="1"/>
  <c r="AY132" i="6"/>
  <c r="AY131" i="6"/>
  <c r="AY133" i="6"/>
  <c r="AY134" i="6"/>
  <c r="AY135" i="6"/>
  <c r="AY127" i="6"/>
  <c r="AY157" i="6"/>
  <c r="AY156" i="6"/>
  <c r="AY151" i="6"/>
  <c r="AY143" i="6"/>
  <c r="AY142" i="6"/>
  <c r="AY141" i="6"/>
  <c r="AY140" i="6"/>
  <c r="AY123" i="6"/>
  <c r="AY125" i="6"/>
  <c r="AY124" i="6"/>
  <c r="AZ114" i="6"/>
  <c r="AZ148" i="6" l="1"/>
  <c r="AZ149" i="6"/>
  <c r="AZ150" i="6"/>
  <c r="AZ146" i="6"/>
  <c r="AZ147" i="6"/>
  <c r="AZ145" i="6"/>
  <c r="AZ118" i="6"/>
  <c r="AZ152" i="6"/>
  <c r="AZ119" i="6"/>
  <c r="AZ128" i="6"/>
  <c r="AZ129" i="6"/>
  <c r="AZ120" i="6"/>
  <c r="AZ122" i="6"/>
  <c r="AZ121" i="6"/>
  <c r="AZ117" i="6"/>
  <c r="AZ158" i="6"/>
  <c r="AZ153" i="6"/>
  <c r="AZ137" i="6"/>
  <c r="AZ136" i="6"/>
  <c r="AZ154" i="6"/>
  <c r="AZ135" i="6"/>
  <c r="AZ132" i="6"/>
  <c r="AZ131" i="6"/>
  <c r="AZ133" i="6"/>
  <c r="AZ127" i="6"/>
  <c r="AZ134" i="6"/>
  <c r="AZ157" i="6"/>
  <c r="AZ156" i="6"/>
  <c r="AZ151" i="6"/>
  <c r="AZ143" i="6"/>
  <c r="AZ142" i="6"/>
  <c r="AZ141" i="6"/>
  <c r="AZ140" i="6"/>
  <c r="AZ123" i="6"/>
  <c r="AZ125" i="6"/>
  <c r="AZ124" i="6"/>
  <c r="BA114" i="6"/>
  <c r="BA147" i="6" l="1"/>
  <c r="BA148" i="6"/>
  <c r="BA149" i="6"/>
  <c r="BA150" i="6"/>
  <c r="BA146" i="6"/>
  <c r="BA152" i="6"/>
  <c r="BA119" i="6"/>
  <c r="BA128" i="6"/>
  <c r="BA129" i="6"/>
  <c r="BA120" i="6"/>
  <c r="BA122" i="6"/>
  <c r="BA121" i="6"/>
  <c r="BA117" i="6"/>
  <c r="BA145" i="6"/>
  <c r="BA118" i="6"/>
  <c r="BA158" i="6"/>
  <c r="BA153" i="6"/>
  <c r="BA137" i="6"/>
  <c r="BA154" i="6"/>
  <c r="BA136" i="6"/>
  <c r="BA134" i="6"/>
  <c r="BA135" i="6"/>
  <c r="BA132" i="6"/>
  <c r="BA131" i="6"/>
  <c r="BA127" i="6"/>
  <c r="BA133" i="6"/>
  <c r="BA157" i="6"/>
  <c r="BA156" i="6"/>
  <c r="BA151" i="6"/>
  <c r="BA143" i="6"/>
  <c r="BA142" i="6"/>
  <c r="BA140" i="6"/>
  <c r="BA141" i="6"/>
  <c r="BA123" i="6"/>
  <c r="BA125" i="6"/>
  <c r="BA124" i="6"/>
  <c r="BB114" i="6"/>
  <c r="BB150" i="6" l="1"/>
  <c r="BB146" i="6"/>
  <c r="BB147" i="6"/>
  <c r="BB148" i="6"/>
  <c r="BB149" i="6"/>
  <c r="BB120" i="6"/>
  <c r="BB122" i="6"/>
  <c r="BB121" i="6"/>
  <c r="BB117" i="6"/>
  <c r="BB145" i="6"/>
  <c r="BB118" i="6"/>
  <c r="BB152" i="6"/>
  <c r="BB119" i="6"/>
  <c r="BB128" i="6"/>
  <c r="BB129" i="6"/>
  <c r="BB158" i="6"/>
  <c r="BB153" i="6"/>
  <c r="BB154" i="6"/>
  <c r="BB137" i="6"/>
  <c r="BB136" i="6"/>
  <c r="BB133" i="6"/>
  <c r="BB134" i="6"/>
  <c r="BB135" i="6"/>
  <c r="BB131" i="6"/>
  <c r="BB132" i="6"/>
  <c r="BB127" i="6"/>
  <c r="BB157" i="6"/>
  <c r="BB156" i="6"/>
  <c r="BB151" i="6"/>
  <c r="BB140" i="6"/>
  <c r="BB143" i="6"/>
  <c r="BB141" i="6"/>
  <c r="BB142" i="6"/>
  <c r="BB123" i="6"/>
  <c r="BB125" i="6"/>
  <c r="BB124" i="6"/>
  <c r="BC114" i="6"/>
  <c r="BC149" i="6" l="1"/>
  <c r="BC150" i="6"/>
  <c r="BC146" i="6"/>
  <c r="BC147" i="6"/>
  <c r="BC148" i="6"/>
  <c r="BC121" i="6"/>
  <c r="BC117" i="6"/>
  <c r="BC145" i="6"/>
  <c r="BC118" i="6"/>
  <c r="BC152" i="6"/>
  <c r="BC119" i="6"/>
  <c r="BC128" i="6"/>
  <c r="BC129" i="6"/>
  <c r="BC120" i="6"/>
  <c r="BC122" i="6"/>
  <c r="BC158" i="6"/>
  <c r="BC153" i="6"/>
  <c r="BC137" i="6"/>
  <c r="BC136" i="6"/>
  <c r="BC154" i="6"/>
  <c r="BC132" i="6"/>
  <c r="BC131" i="6"/>
  <c r="BC133" i="6"/>
  <c r="BC134" i="6"/>
  <c r="BC135" i="6"/>
  <c r="BC127" i="6"/>
  <c r="BC157" i="6"/>
  <c r="BC156" i="6"/>
  <c r="BC151" i="6"/>
  <c r="BC143" i="6"/>
  <c r="BC142" i="6"/>
  <c r="BC141" i="6"/>
  <c r="BC140" i="6"/>
  <c r="BC123" i="6"/>
  <c r="BC125" i="6"/>
  <c r="BC124" i="6"/>
  <c r="BD114" i="6"/>
  <c r="BD148" i="6" l="1"/>
  <c r="BD149" i="6"/>
  <c r="BD150" i="6"/>
  <c r="BD146" i="6"/>
  <c r="BD147" i="6"/>
  <c r="BD145" i="6"/>
  <c r="BD118" i="6"/>
  <c r="BD152" i="6"/>
  <c r="BD119" i="6"/>
  <c r="BD128" i="6"/>
  <c r="BD129" i="6"/>
  <c r="BD120" i="6"/>
  <c r="BD122" i="6"/>
  <c r="BD121" i="6"/>
  <c r="BD117" i="6"/>
  <c r="BD158" i="6"/>
  <c r="BD153" i="6"/>
  <c r="BD137" i="6"/>
  <c r="BD136" i="6"/>
  <c r="BD154" i="6"/>
  <c r="BD135" i="6"/>
  <c r="BD132" i="6"/>
  <c r="BD131" i="6"/>
  <c r="BD133" i="6"/>
  <c r="BD134" i="6"/>
  <c r="BD127" i="6"/>
  <c r="BD157" i="6"/>
  <c r="BD156" i="6"/>
  <c r="BD151" i="6"/>
  <c r="BD143" i="6"/>
  <c r="BD141" i="6"/>
  <c r="BD140" i="6"/>
  <c r="BD142" i="6"/>
  <c r="BD123" i="6"/>
  <c r="BD125" i="6"/>
  <c r="BD124" i="6"/>
  <c r="BE114" i="6"/>
  <c r="BE147" i="6" l="1"/>
  <c r="BE148" i="6"/>
  <c r="BE149" i="6"/>
  <c r="BE150" i="6"/>
  <c r="BE146" i="6"/>
  <c r="BE152" i="6"/>
  <c r="BE119" i="6"/>
  <c r="BE128" i="6"/>
  <c r="BE129" i="6"/>
  <c r="BE120" i="6"/>
  <c r="BE122" i="6"/>
  <c r="BE121" i="6"/>
  <c r="BE117" i="6"/>
  <c r="BE145" i="6"/>
  <c r="BE118" i="6"/>
  <c r="BE158" i="6"/>
  <c r="BE153" i="6"/>
  <c r="BE154" i="6"/>
  <c r="BE136" i="6"/>
  <c r="BE137" i="6"/>
  <c r="BE134" i="6"/>
  <c r="BE135" i="6"/>
  <c r="BE132" i="6"/>
  <c r="BE131" i="6"/>
  <c r="BE127" i="6"/>
  <c r="BE133" i="6"/>
  <c r="BE157" i="6"/>
  <c r="BE156" i="6"/>
  <c r="BE151" i="6"/>
  <c r="BE142" i="6"/>
  <c r="BE141" i="6"/>
  <c r="BE143" i="6"/>
  <c r="BE140" i="6"/>
  <c r="BE123" i="6"/>
  <c r="BE125" i="6"/>
  <c r="BE124" i="6"/>
  <c r="BF114" i="6"/>
  <c r="BF150" i="6" l="1"/>
  <c r="BF146" i="6"/>
  <c r="BF147" i="6"/>
  <c r="BF148" i="6"/>
  <c r="BF149" i="6"/>
  <c r="BF120" i="6"/>
  <c r="BF122" i="6"/>
  <c r="BF121" i="6"/>
  <c r="BF117" i="6"/>
  <c r="BF145" i="6"/>
  <c r="BF118" i="6"/>
  <c r="BF152" i="6"/>
  <c r="BF119" i="6"/>
  <c r="BF128" i="6"/>
  <c r="BF129" i="6"/>
  <c r="BF158" i="6"/>
  <c r="BF153" i="6"/>
  <c r="BF154" i="6"/>
  <c r="BF136" i="6"/>
  <c r="BF137" i="6"/>
  <c r="BF133" i="6"/>
  <c r="BF134" i="6"/>
  <c r="BF135" i="6"/>
  <c r="BF131" i="6"/>
  <c r="BF132" i="6"/>
  <c r="BF127" i="6"/>
  <c r="BF157" i="6"/>
  <c r="BF156" i="6"/>
  <c r="BF151" i="6"/>
  <c r="BF142" i="6"/>
  <c r="BF143" i="6"/>
  <c r="BF140" i="6"/>
  <c r="BF141" i="6"/>
  <c r="BF123" i="6"/>
  <c r="BF125" i="6"/>
  <c r="BF124" i="6"/>
  <c r="BG114" i="6"/>
  <c r="BG149" i="6" l="1"/>
  <c r="BG150" i="6"/>
  <c r="BG146" i="6"/>
  <c r="BG147" i="6"/>
  <c r="BG148" i="6"/>
  <c r="BG121" i="6"/>
  <c r="BG117" i="6"/>
  <c r="BG145" i="6"/>
  <c r="BG118" i="6"/>
  <c r="BG152" i="6"/>
  <c r="BG119" i="6"/>
  <c r="BG128" i="6"/>
  <c r="BG129" i="6"/>
  <c r="BG120" i="6"/>
  <c r="BG122" i="6"/>
  <c r="BG158" i="6"/>
  <c r="BG153" i="6"/>
  <c r="BG137" i="6"/>
  <c r="BG136" i="6"/>
  <c r="BG154" i="6"/>
  <c r="BG132" i="6"/>
  <c r="BG131" i="6"/>
  <c r="BG133" i="6"/>
  <c r="BG134" i="6"/>
  <c r="BG135" i="6"/>
  <c r="BG127" i="6"/>
  <c r="BG157" i="6"/>
  <c r="BG156" i="6"/>
  <c r="BG151" i="6"/>
  <c r="BG143" i="6"/>
  <c r="BG142" i="6"/>
  <c r="BG141" i="6"/>
  <c r="BG140" i="6"/>
  <c r="BG123" i="6"/>
  <c r="BG125" i="6"/>
  <c r="BG124" i="6"/>
  <c r="BH114" i="6"/>
  <c r="BH148" i="6" l="1"/>
  <c r="BH149" i="6"/>
  <c r="BH150" i="6"/>
  <c r="BH146" i="6"/>
  <c r="BH147" i="6"/>
  <c r="BH145" i="6"/>
  <c r="BH118" i="6"/>
  <c r="BH152" i="6"/>
  <c r="BH119" i="6"/>
  <c r="BH128" i="6"/>
  <c r="BH129" i="6"/>
  <c r="BH120" i="6"/>
  <c r="BH122" i="6"/>
  <c r="BH121" i="6"/>
  <c r="BH117" i="6"/>
  <c r="BH158" i="6"/>
  <c r="BH153" i="6"/>
  <c r="BH137" i="6"/>
  <c r="BH136" i="6"/>
  <c r="BH154" i="6"/>
  <c r="BH135" i="6"/>
  <c r="BH132" i="6"/>
  <c r="BH131" i="6"/>
  <c r="BH133" i="6"/>
  <c r="BH127" i="6"/>
  <c r="BH134" i="6"/>
  <c r="BH157" i="6"/>
  <c r="BH156" i="6"/>
  <c r="BH151" i="6"/>
  <c r="BH143" i="6"/>
  <c r="BH140" i="6"/>
  <c r="BH141" i="6"/>
  <c r="BH142" i="6"/>
  <c r="BH123" i="6"/>
  <c r="BH125" i="6"/>
  <c r="BH124" i="6"/>
  <c r="BI114" i="6"/>
  <c r="BI147" i="6" l="1"/>
  <c r="BI148" i="6"/>
  <c r="BI149" i="6"/>
  <c r="BI150" i="6"/>
  <c r="BI146" i="6"/>
  <c r="BI152" i="6"/>
  <c r="BI119" i="6"/>
  <c r="BI128" i="6"/>
  <c r="BI129" i="6"/>
  <c r="BI120" i="6"/>
  <c r="BI122" i="6"/>
  <c r="BI121" i="6"/>
  <c r="BI117" i="6"/>
  <c r="BI145" i="6"/>
  <c r="BI118" i="6"/>
  <c r="BI158" i="6"/>
  <c r="BI153" i="6"/>
  <c r="BI137" i="6"/>
  <c r="BI136" i="6"/>
  <c r="BI154" i="6"/>
  <c r="BI134" i="6"/>
  <c r="BI135" i="6"/>
  <c r="BI132" i="6"/>
  <c r="BI131" i="6"/>
  <c r="BI133" i="6"/>
  <c r="BI127" i="6"/>
  <c r="BI157" i="6"/>
  <c r="BI156" i="6"/>
  <c r="BI151" i="6"/>
  <c r="BI143" i="6"/>
  <c r="BI141" i="6"/>
  <c r="BI140" i="6"/>
  <c r="BI142" i="6"/>
  <c r="BI123" i="6"/>
  <c r="BI125" i="6"/>
  <c r="BI124" i="6"/>
  <c r="BJ114" i="6"/>
  <c r="BJ150" i="6" l="1"/>
  <c r="BJ146" i="6"/>
  <c r="BJ147" i="6"/>
  <c r="BJ148" i="6"/>
  <c r="BJ149" i="6"/>
  <c r="BJ120" i="6"/>
  <c r="BJ122" i="6"/>
  <c r="BJ121" i="6"/>
  <c r="BJ117" i="6"/>
  <c r="BJ145" i="6"/>
  <c r="BJ118" i="6"/>
  <c r="BJ152" i="6"/>
  <c r="BJ119" i="6"/>
  <c r="BJ128" i="6"/>
  <c r="BJ129" i="6"/>
  <c r="BJ158" i="6"/>
  <c r="BJ153" i="6"/>
  <c r="BJ154" i="6"/>
  <c r="BJ137" i="6"/>
  <c r="BJ136" i="6"/>
  <c r="BJ133" i="6"/>
  <c r="BJ134" i="6"/>
  <c r="BJ135" i="6"/>
  <c r="BJ131" i="6"/>
  <c r="BJ132" i="6"/>
  <c r="BJ127" i="6"/>
  <c r="BJ157" i="6"/>
  <c r="BJ156" i="6"/>
  <c r="BJ151" i="6"/>
  <c r="BJ142" i="6"/>
  <c r="BJ143" i="6"/>
  <c r="BJ141" i="6"/>
  <c r="BJ140" i="6"/>
  <c r="BJ123" i="6"/>
  <c r="BJ125" i="6"/>
  <c r="BJ124" i="6"/>
  <c r="BK114" i="6"/>
  <c r="BK149" i="6" l="1"/>
  <c r="BK150" i="6"/>
  <c r="BK146" i="6"/>
  <c r="BK147" i="6"/>
  <c r="BK148" i="6"/>
  <c r="BK121" i="6"/>
  <c r="BK117" i="6"/>
  <c r="BK145" i="6"/>
  <c r="BK118" i="6"/>
  <c r="BK152" i="6"/>
  <c r="BK119" i="6"/>
  <c r="BK128" i="6"/>
  <c r="BK129" i="6"/>
  <c r="BK120" i="6"/>
  <c r="BK122" i="6"/>
  <c r="BK158" i="6"/>
  <c r="BK153" i="6"/>
  <c r="BK137" i="6"/>
  <c r="BK136" i="6"/>
  <c r="BK154" i="6"/>
  <c r="BK132" i="6"/>
  <c r="BK131" i="6"/>
  <c r="BK133" i="6"/>
  <c r="BK134" i="6"/>
  <c r="BK135" i="6"/>
  <c r="BK127" i="6"/>
  <c r="BK157" i="6"/>
  <c r="BK156" i="6"/>
  <c r="BK151" i="6"/>
  <c r="BK143" i="6"/>
  <c r="BK142" i="6"/>
  <c r="BK141" i="6"/>
  <c r="BK140" i="6"/>
  <c r="BK123" i="6"/>
  <c r="BK125" i="6"/>
  <c r="BK124" i="6"/>
  <c r="BL114" i="6"/>
  <c r="BL148" i="6" l="1"/>
  <c r="BL149" i="6"/>
  <c r="BL150" i="6"/>
  <c r="BL146" i="6"/>
  <c r="BL147" i="6"/>
  <c r="BL145" i="6"/>
  <c r="BL118" i="6"/>
  <c r="BL152" i="6"/>
  <c r="BL119" i="6"/>
  <c r="BL128" i="6"/>
  <c r="BL129" i="6"/>
  <c r="BL120" i="6"/>
  <c r="BL122" i="6"/>
  <c r="BL121" i="6"/>
  <c r="BL117" i="6"/>
  <c r="BL158" i="6"/>
  <c r="BL153" i="6"/>
  <c r="BL137" i="6"/>
  <c r="BL136" i="6"/>
  <c r="BL154" i="6"/>
  <c r="BL135" i="6"/>
  <c r="BL132" i="6"/>
  <c r="BL133" i="6"/>
  <c r="BL127" i="6"/>
  <c r="BL134" i="6"/>
  <c r="BL131" i="6"/>
  <c r="BL157" i="6"/>
  <c r="BL156" i="6"/>
  <c r="BL151" i="6"/>
  <c r="BL143" i="6"/>
  <c r="BL142" i="6"/>
  <c r="BL140" i="6"/>
  <c r="BL141" i="6"/>
  <c r="BL123" i="6"/>
  <c r="BL125" i="6"/>
  <c r="BL124" i="6"/>
  <c r="BM114" i="6"/>
  <c r="BM147" i="6" l="1"/>
  <c r="BM148" i="6"/>
  <c r="E148" i="6" s="1"/>
  <c r="BM149" i="6"/>
  <c r="BM150" i="6"/>
  <c r="E150" i="6" s="1"/>
  <c r="BM146" i="6"/>
  <c r="E146" i="6" s="1"/>
  <c r="BM152" i="6"/>
  <c r="BM119" i="6"/>
  <c r="BM128" i="6"/>
  <c r="E128" i="6" s="1"/>
  <c r="BM129" i="6"/>
  <c r="BM120" i="6"/>
  <c r="E120" i="6" s="1"/>
  <c r="BM122" i="6"/>
  <c r="E122" i="6" s="1"/>
  <c r="BM121" i="6"/>
  <c r="E121" i="6" s="1"/>
  <c r="BM117" i="6"/>
  <c r="BM145" i="6"/>
  <c r="E145" i="6" s="1"/>
  <c r="BM118" i="6"/>
  <c r="E118" i="6" s="1"/>
  <c r="BM158" i="6"/>
  <c r="D15" i="6" s="1"/>
  <c r="D16" i="6" s="1"/>
  <c r="BM153" i="6"/>
  <c r="BM154" i="6"/>
  <c r="BM136" i="6"/>
  <c r="BM137" i="6"/>
  <c r="BM134" i="6"/>
  <c r="BM135" i="6"/>
  <c r="E135" i="6" s="1"/>
  <c r="BM132" i="6"/>
  <c r="E132" i="6" s="1"/>
  <c r="BM131" i="6"/>
  <c r="E131" i="6" s="1"/>
  <c r="BM133" i="6"/>
  <c r="E129" i="6"/>
  <c r="BM127" i="6"/>
  <c r="E127" i="6" s="1"/>
  <c r="BM157" i="6"/>
  <c r="BM156" i="6"/>
  <c r="BM151" i="6"/>
  <c r="E151" i="6" s="1"/>
  <c r="E149" i="6"/>
  <c r="E147" i="6"/>
  <c r="BM140" i="6"/>
  <c r="E140" i="6" s="1"/>
  <c r="BM143" i="6"/>
  <c r="E143" i="6" s="1"/>
  <c r="BM141" i="6"/>
  <c r="E141" i="6" s="1"/>
  <c r="BM142" i="6"/>
  <c r="E142" i="6" s="1"/>
  <c r="BM123" i="6"/>
  <c r="E117" i="6"/>
  <c r="BM125" i="6"/>
  <c r="E119" i="6"/>
  <c r="E134" i="6"/>
  <c r="E133" i="6"/>
  <c r="BM124" i="6"/>
  <c r="E124" i="6" s="1"/>
  <c r="C100" i="13"/>
  <c r="M101" i="13" s="1"/>
  <c r="C102" i="13"/>
  <c r="E37" i="13"/>
  <c r="T101" i="13" l="1"/>
  <c r="R101" i="13"/>
  <c r="F101" i="13"/>
  <c r="K101" i="13"/>
  <c r="O101" i="13"/>
  <c r="G101" i="13"/>
  <c r="N101" i="13"/>
  <c r="S101" i="13"/>
  <c r="E36" i="13"/>
  <c r="H101" i="13"/>
  <c r="L101" i="13"/>
  <c r="O103" i="13"/>
  <c r="F103" i="13"/>
  <c r="T103" i="13"/>
  <c r="N103" i="13"/>
  <c r="E103" i="13"/>
  <c r="S103" i="13"/>
  <c r="R103" i="13"/>
  <c r="K103" i="13"/>
  <c r="I103" i="13"/>
  <c r="Q103" i="13"/>
  <c r="J103" i="13"/>
  <c r="M103" i="13"/>
  <c r="E102" i="13"/>
  <c r="F102" i="13" s="1"/>
  <c r="G102" i="13" s="1"/>
  <c r="H102" i="13" s="1"/>
  <c r="I102" i="13" s="1"/>
  <c r="J102" i="13" s="1"/>
  <c r="K102" i="13" s="1"/>
  <c r="L102" i="13" s="1"/>
  <c r="M102" i="13" s="1"/>
  <c r="N102" i="13" s="1"/>
  <c r="O102" i="13" s="1"/>
  <c r="P102" i="13" s="1"/>
  <c r="Q102" i="13" s="1"/>
  <c r="R102" i="13" s="1"/>
  <c r="S102" i="13" s="1"/>
  <c r="T102" i="13" s="1"/>
  <c r="G103" i="13"/>
  <c r="L103" i="13"/>
  <c r="P103" i="13"/>
  <c r="H103" i="13"/>
  <c r="E100" i="13"/>
  <c r="F100" i="13" s="1"/>
  <c r="G100" i="13" s="1"/>
  <c r="H100" i="13" s="1"/>
  <c r="I100" i="13" s="1"/>
  <c r="J100" i="13" s="1"/>
  <c r="K100" i="13" s="1"/>
  <c r="L100" i="13" s="1"/>
  <c r="M100" i="13" s="1"/>
  <c r="N100" i="13" s="1"/>
  <c r="O100" i="13" s="1"/>
  <c r="P100" i="13" s="1"/>
  <c r="Q100" i="13" s="1"/>
  <c r="R100" i="13" s="1"/>
  <c r="S100" i="13" s="1"/>
  <c r="T100" i="13" s="1"/>
  <c r="J101" i="13"/>
  <c r="P101" i="13"/>
  <c r="Q101" i="13"/>
  <c r="I101" i="13"/>
  <c r="E46" i="13" l="1"/>
  <c r="H51" i="13" s="1"/>
  <c r="H65" i="13" s="1"/>
  <c r="H57" i="13" l="1"/>
  <c r="H64" i="13"/>
  <c r="J57" i="13"/>
  <c r="H60" i="13"/>
  <c r="H71" i="13"/>
  <c r="H61" i="13"/>
  <c r="H67" i="13"/>
  <c r="H63" i="13"/>
  <c r="H66" i="13"/>
  <c r="H52" i="13"/>
  <c r="J18" i="13" s="1"/>
  <c r="H59" i="13"/>
  <c r="H68" i="13"/>
  <c r="H62" i="13"/>
  <c r="H70" i="13"/>
  <c r="H58" i="13"/>
  <c r="H69" i="13"/>
  <c r="I57" i="13"/>
  <c r="I58" i="13" s="1"/>
  <c r="I59" i="13" s="1"/>
  <c r="I60" i="13" s="1"/>
  <c r="I61" i="13" s="1"/>
  <c r="I62" i="13" s="1"/>
  <c r="I63" i="13" s="1"/>
  <c r="I64" i="13" s="1"/>
  <c r="I65" i="13" s="1"/>
  <c r="I66" i="13" s="1"/>
  <c r="I67" i="13" s="1"/>
  <c r="I68" i="13" s="1"/>
  <c r="I69" i="13" s="1"/>
  <c r="I70" i="13" s="1"/>
  <c r="I71" i="13" s="1"/>
  <c r="E59" i="13" l="1"/>
  <c r="E81" i="13" s="1"/>
  <c r="E82" i="13" s="1"/>
  <c r="E83" i="13" s="1"/>
  <c r="J17" i="13"/>
  <c r="J21" i="13"/>
  <c r="J58" i="13"/>
  <c r="F112" i="13"/>
  <c r="D59" i="13"/>
  <c r="J19" i="13" l="1"/>
  <c r="F111" i="13"/>
  <c r="G111" i="13" s="1"/>
  <c r="J59" i="13"/>
  <c r="G112" i="13"/>
  <c r="E105" i="13"/>
  <c r="E106" i="13" s="1"/>
  <c r="E121" i="13" s="1"/>
  <c r="F105" i="13" l="1"/>
  <c r="F106" i="13" s="1"/>
  <c r="F121" i="13" s="1"/>
  <c r="H111" i="13"/>
  <c r="J60" i="13"/>
  <c r="H112" i="13"/>
  <c r="E115" i="13"/>
  <c r="E122" i="13" s="1"/>
  <c r="F115" i="13" l="1"/>
  <c r="F122" i="13" s="1"/>
  <c r="G105" i="13"/>
  <c r="G106" i="13" s="1"/>
  <c r="G121" i="13" s="1"/>
  <c r="I112" i="13"/>
  <c r="J61" i="13"/>
  <c r="E118" i="13"/>
  <c r="E120" i="13" s="1"/>
  <c r="I111" i="13"/>
  <c r="H105" i="13"/>
  <c r="H106" i="13" s="1"/>
  <c r="F118" i="13" l="1"/>
  <c r="F120" i="13" s="1"/>
  <c r="G115" i="13"/>
  <c r="G122" i="13" s="1"/>
  <c r="J112" i="13"/>
  <c r="J62" i="13"/>
  <c r="H121" i="13"/>
  <c r="H115" i="13"/>
  <c r="J111" i="13"/>
  <c r="I105" i="13"/>
  <c r="I106" i="13" s="1"/>
  <c r="G118" i="13" l="1"/>
  <c r="G120" i="13" s="1"/>
  <c r="K112" i="13"/>
  <c r="J63" i="13"/>
  <c r="H122" i="13"/>
  <c r="H118" i="13"/>
  <c r="H120" i="13" s="1"/>
  <c r="I115" i="13"/>
  <c r="I121" i="13"/>
  <c r="K111" i="13"/>
  <c r="J105" i="13"/>
  <c r="J106" i="13" s="1"/>
  <c r="L112" i="13" l="1"/>
  <c r="J64" i="13"/>
  <c r="I122" i="13"/>
  <c r="I118" i="13"/>
  <c r="I120" i="13" s="1"/>
  <c r="J121" i="13"/>
  <c r="J115" i="13"/>
  <c r="L111" i="13"/>
  <c r="K105" i="13"/>
  <c r="K106" i="13" s="1"/>
  <c r="M112" i="13" l="1"/>
  <c r="J65" i="13"/>
  <c r="J118" i="13"/>
  <c r="J120" i="13" s="1"/>
  <c r="J122" i="13"/>
  <c r="K115" i="13"/>
  <c r="K121" i="13"/>
  <c r="M111" i="13"/>
  <c r="L105" i="13"/>
  <c r="L106" i="13" s="1"/>
  <c r="N112" i="13" l="1"/>
  <c r="J66" i="13"/>
  <c r="K118" i="13"/>
  <c r="K120" i="13" s="1"/>
  <c r="K122" i="13"/>
  <c r="L121" i="13"/>
  <c r="L115" i="13"/>
  <c r="N111" i="13"/>
  <c r="M105" i="13"/>
  <c r="M106" i="13" s="1"/>
  <c r="M121" i="13" s="1"/>
  <c r="O112" i="13" l="1"/>
  <c r="J67" i="13"/>
  <c r="M115" i="13"/>
  <c r="L122" i="13"/>
  <c r="L118" i="13"/>
  <c r="L120" i="13" s="1"/>
  <c r="O111" i="13"/>
  <c r="N105" i="13"/>
  <c r="N106" i="13" s="1"/>
  <c r="P112" i="13" l="1"/>
  <c r="J68" i="13"/>
  <c r="N121" i="13"/>
  <c r="N115" i="13"/>
  <c r="M122" i="13"/>
  <c r="M118" i="13"/>
  <c r="M120" i="13" s="1"/>
  <c r="P111" i="13"/>
  <c r="O105" i="13"/>
  <c r="O106" i="13" s="1"/>
  <c r="Q112" i="13" l="1"/>
  <c r="J69" i="13"/>
  <c r="O115" i="13"/>
  <c r="O121" i="13"/>
  <c r="Q111" i="13"/>
  <c r="P105" i="13"/>
  <c r="P106" i="13" s="1"/>
  <c r="N122" i="13"/>
  <c r="N118" i="13"/>
  <c r="N120" i="13" s="1"/>
  <c r="J70" i="13" l="1"/>
  <c r="R112" i="13"/>
  <c r="R111" i="13"/>
  <c r="Q105" i="13"/>
  <c r="Q106" i="13" s="1"/>
  <c r="P115" i="13"/>
  <c r="P121" i="13"/>
  <c r="O118" i="13"/>
  <c r="O120" i="13" s="1"/>
  <c r="O122" i="13"/>
  <c r="J71" i="13" l="1"/>
  <c r="T112" i="13" s="1"/>
  <c r="S112" i="13"/>
  <c r="P118" i="13"/>
  <c r="P120" i="13" s="1"/>
  <c r="P122" i="13"/>
  <c r="Q121" i="13"/>
  <c r="Q115" i="13"/>
  <c r="S111" i="13"/>
  <c r="R105" i="13"/>
  <c r="R106" i="13" s="1"/>
  <c r="R115" i="13" l="1"/>
  <c r="R122" i="13" s="1"/>
  <c r="R121" i="13"/>
  <c r="Q122" i="13"/>
  <c r="Q118" i="13"/>
  <c r="Q120" i="13" s="1"/>
  <c r="T111" i="13"/>
  <c r="T105" i="13" s="1"/>
  <c r="T106" i="13" s="1"/>
  <c r="S105" i="13"/>
  <c r="S106" i="13" s="1"/>
  <c r="S115" i="13" l="1"/>
  <c r="S121" i="13"/>
  <c r="T121" i="13"/>
  <c r="T115" i="13"/>
  <c r="R118" i="13"/>
  <c r="R120" i="13" s="1"/>
  <c r="T122" i="13" l="1"/>
  <c r="T118" i="13"/>
  <c r="T120" i="13" s="1"/>
  <c r="S122" i="13"/>
  <c r="S118" i="13"/>
  <c r="S120" i="13" s="1"/>
  <c r="G130" i="13" l="1"/>
  <c r="F128" i="13" s="1"/>
  <c r="J23" i="13" s="1"/>
</calcChain>
</file>

<file path=xl/sharedStrings.xml><?xml version="1.0" encoding="utf-8"?>
<sst xmlns="http://schemas.openxmlformats.org/spreadsheetml/2006/main" count="731" uniqueCount="440">
  <si>
    <t>Landing Page</t>
  </si>
  <si>
    <t>Version 1.0</t>
  </si>
  <si>
    <t xml:space="preserve">Layout and Objectives of the Model </t>
  </si>
  <si>
    <t xml:space="preserve">How to use this Financial Model </t>
  </si>
  <si>
    <t xml:space="preserve">Name </t>
  </si>
  <si>
    <t xml:space="preserve">Purpose </t>
  </si>
  <si>
    <t xml:space="preserve">Example </t>
  </si>
  <si>
    <t xml:space="preserve">Input </t>
  </si>
  <si>
    <t>Indicates cells to be entered as numbers, words, or drop down fields to be chosen</t>
  </si>
  <si>
    <t>Input</t>
  </si>
  <si>
    <t xml:space="preserve">Outputs </t>
  </si>
  <si>
    <r>
      <t xml:space="preserve">Indicates cells that contain formulas/output calculations. Negative outputs are coloured </t>
    </r>
    <r>
      <rPr>
        <sz val="10"/>
        <color rgb="FFFF0000"/>
        <rFont val="Calibri"/>
        <family val="2"/>
        <scheme val="minor"/>
      </rPr>
      <t xml:space="preserve">(red). </t>
    </r>
  </si>
  <si>
    <r>
      <t xml:space="preserve">Output or </t>
    </r>
    <r>
      <rPr>
        <sz val="10"/>
        <color rgb="FFFF0000"/>
        <rFont val="Calibri"/>
        <family val="2"/>
        <scheme val="minor"/>
      </rPr>
      <t>(Output)</t>
    </r>
  </si>
  <si>
    <t xml:space="preserve">Key Ouputs </t>
  </si>
  <si>
    <t xml:space="preserve">Indicates cells that contain key output information. </t>
  </si>
  <si>
    <t>Benchmarks</t>
  </si>
  <si>
    <t>Indicates benchmak values to be used for comparison purposes</t>
  </si>
  <si>
    <t>Benchmark</t>
  </si>
  <si>
    <t>Name of Provider:</t>
  </si>
  <si>
    <t>Project Addresss:</t>
  </si>
  <si>
    <t>Location/Region:</t>
  </si>
  <si>
    <t>Date of Analysis:</t>
  </si>
  <si>
    <t xml:space="preserve">Key notes from assessment </t>
  </si>
  <si>
    <t>An initial high level preliminary project feasiblity assessment to test the following outcomes:</t>
  </si>
  <si>
    <t xml:space="preserve">1. Provider led development - Providers with a site in mind that is owned, or to be purchased for development, with an initial idea of how many dwellings to construct and sell. </t>
  </si>
  <si>
    <t>2. Developer led development - Providers may use this budget to test a developers costs and sale prices to ensure value for money</t>
  </si>
  <si>
    <t>Preliminary Feasibility Budget</t>
  </si>
  <si>
    <t xml:space="preserve">Project Costs </t>
  </si>
  <si>
    <t>1. Project Costs and Revenues</t>
  </si>
  <si>
    <t xml:space="preserve">Estimated Land Cost </t>
  </si>
  <si>
    <t xml:space="preserve">Land Price </t>
  </si>
  <si>
    <t xml:space="preserve">Acquisition Costs </t>
  </si>
  <si>
    <t xml:space="preserve">Total Land Cost </t>
  </si>
  <si>
    <t xml:space="preserve">Estimated Construction Cost </t>
  </si>
  <si>
    <t xml:space="preserve">Estimated Development Costs </t>
  </si>
  <si>
    <t>Development Costs</t>
  </si>
  <si>
    <t>Professional Fees</t>
  </si>
  <si>
    <t xml:space="preserve">Contingency </t>
  </si>
  <si>
    <t xml:space="preserve">Total Project Cost </t>
  </si>
  <si>
    <t xml:space="preserve">Total Revenue </t>
  </si>
  <si>
    <t>Sales Revenue from Households</t>
  </si>
  <si>
    <t>Less GST</t>
  </si>
  <si>
    <t>Less legal costs of sale*</t>
  </si>
  <si>
    <t xml:space="preserve">Net Revenue </t>
  </si>
  <si>
    <t>Plus PHO Loan</t>
  </si>
  <si>
    <t xml:space="preserve">Project Surplus/Deficit at Completion </t>
  </si>
  <si>
    <t xml:space="preserve">2. Project Funding </t>
  </si>
  <si>
    <t xml:space="preserve">Funding </t>
  </si>
  <si>
    <t>(The above should not exceed 45%, and should equate to 100% when combined with the Household Share Above)</t>
  </si>
  <si>
    <t xml:space="preserve">Add in Other Funding </t>
  </si>
  <si>
    <t>Equity in land to be developed</t>
  </si>
  <si>
    <t xml:space="preserve">Specify Source 2 </t>
  </si>
  <si>
    <t>Specify Source 3</t>
  </si>
  <si>
    <t>Specify Source 4</t>
  </si>
  <si>
    <t>Key Assumptions:</t>
  </si>
  <si>
    <t xml:space="preserve">* Legal costs of sale are $1,500 plus GST, per property </t>
  </si>
  <si>
    <t xml:space="preserve">Affordable Housing Model - Shared Equity </t>
  </si>
  <si>
    <t xml:space="preserve">Purpose: </t>
  </si>
  <si>
    <t xml:space="preserve">within the 15 year period. The below model calculates approximately how many years it will take for the household to build up enough equity and cash reserves to buy out the Provider's share in the property. </t>
  </si>
  <si>
    <t>The model uses the following criteria to determine when the household will be able to afford full home ownership:</t>
  </si>
  <si>
    <r>
      <t xml:space="preserve">1. Debt Servicing Ratio (DSR %) of </t>
    </r>
    <r>
      <rPr>
        <b/>
        <sz val="11"/>
        <color theme="1"/>
        <rFont val="Calibri"/>
        <family val="2"/>
        <scheme val="minor"/>
      </rPr>
      <t>&lt; 30%</t>
    </r>
    <r>
      <rPr>
        <sz val="11"/>
        <color theme="1"/>
        <rFont val="Calibri"/>
        <family val="2"/>
        <scheme val="minor"/>
      </rPr>
      <t xml:space="preserve"> - The DSR % is the % of income that is attributed to debt servicing, rates and insurance. </t>
    </r>
  </si>
  <si>
    <t xml:space="preserve">1. Base Data </t>
  </si>
  <si>
    <t xml:space="preserve">Add household/whānau name </t>
  </si>
  <si>
    <t xml:space="preserve">b. Provider Name </t>
  </si>
  <si>
    <t xml:space="preserve">Add Provider Name </t>
  </si>
  <si>
    <t xml:space="preserve">Urban Waikato/Bay of Plenty </t>
  </si>
  <si>
    <t>Debt Servicing, Rates, Insurance (per week)</t>
  </si>
  <si>
    <t>Couple with 3 dependent children</t>
  </si>
  <si>
    <t xml:space="preserve">Market Equivalent Rent </t>
  </si>
  <si>
    <t>Yes</t>
  </si>
  <si>
    <t xml:space="preserve">2. Eligibility Criteria Check </t>
  </si>
  <si>
    <t>No</t>
  </si>
  <si>
    <t>a. Property Purchase Price (including GST, if any)</t>
  </si>
  <si>
    <t xml:space="preserve">4. Household Finances </t>
  </si>
  <si>
    <t xml:space="preserve">a. Deposit </t>
  </si>
  <si>
    <t xml:space="preserve">b. Kiwisaver Funds </t>
  </si>
  <si>
    <t xml:space="preserve">d. Other </t>
  </si>
  <si>
    <t>Subtotal</t>
  </si>
  <si>
    <t xml:space="preserve">Total Third Party Lending Required by the Household </t>
  </si>
  <si>
    <t>Enter the Household 'Other Income' and Expenses in the table below, use the benchmark check for comparison</t>
  </si>
  <si>
    <t xml:space="preserve">Income </t>
  </si>
  <si>
    <t xml:space="preserve">Per Week </t>
  </si>
  <si>
    <t xml:space="preserve">Total Lending </t>
  </si>
  <si>
    <t>LVR</t>
  </si>
  <si>
    <t xml:space="preserve">Other Income </t>
  </si>
  <si>
    <t xml:space="preserve">Total Income </t>
  </si>
  <si>
    <t xml:space="preserve">Test Interest Rate </t>
  </si>
  <si>
    <t xml:space="preserve">Household Expenses </t>
  </si>
  <si>
    <t xml:space="preserve">Benchmark Check </t>
  </si>
  <si>
    <t>Years</t>
  </si>
  <si>
    <t xml:space="preserve">Year  </t>
  </si>
  <si>
    <t xml:space="preserve">Interest &amp; Principal </t>
  </si>
  <si>
    <t xml:space="preserve">Loan Balance </t>
  </si>
  <si>
    <t>Principal repaid</t>
  </si>
  <si>
    <t>Food and Groceries</t>
  </si>
  <si>
    <t>Rent</t>
  </si>
  <si>
    <t>Mortgage</t>
  </si>
  <si>
    <t xml:space="preserve">Passenger Transport </t>
  </si>
  <si>
    <t xml:space="preserve">Gas/Electricity </t>
  </si>
  <si>
    <t xml:space="preserve">Telephone/mobile/internet services </t>
  </si>
  <si>
    <t>Clothing and footwear</t>
  </si>
  <si>
    <t>Rates</t>
  </si>
  <si>
    <t xml:space="preserve">House/content insurance </t>
  </si>
  <si>
    <t xml:space="preserve">Property maintenance </t>
  </si>
  <si>
    <t xml:space="preserve">Private vehicle costs </t>
  </si>
  <si>
    <t xml:space="preserve">Vehicle Insurance </t>
  </si>
  <si>
    <t xml:space="preserve">Medical Insurance </t>
  </si>
  <si>
    <t>Health/medical expenses</t>
  </si>
  <si>
    <t xml:space="preserve">Life Insurance </t>
  </si>
  <si>
    <t xml:space="preserve">Insurance other and combinations </t>
  </si>
  <si>
    <t xml:space="preserve">Childcare </t>
  </si>
  <si>
    <t xml:space="preserve">Additional loans/hire purchase </t>
  </si>
  <si>
    <t xml:space="preserve">Total Household Expenses </t>
  </si>
  <si>
    <t>Surplus (per week)</t>
  </si>
  <si>
    <t>Start of Y1</t>
  </si>
  <si>
    <t xml:space="preserve">End of Year </t>
  </si>
  <si>
    <t xml:space="preserve">Time of Application </t>
  </si>
  <si>
    <t>1. Ownership and Capital Gain</t>
  </si>
  <si>
    <t xml:space="preserve">a. House Price Inflation </t>
  </si>
  <si>
    <t xml:space="preserve">Estimated Purchase Price </t>
  </si>
  <si>
    <t>Provider ownership share ($)</t>
  </si>
  <si>
    <t>Cumulative Provider Capital Gain Share ($)</t>
  </si>
  <si>
    <t>Household/Whānau ownership share ($)</t>
  </si>
  <si>
    <t>Cumulative Household/Whānau Capital Gain Share ($)</t>
  </si>
  <si>
    <t>Refinance Loan Requirement ($)</t>
  </si>
  <si>
    <t>Deposit ($)</t>
  </si>
  <si>
    <t>Home Start Grant ($)</t>
  </si>
  <si>
    <t>Other Grants ($)</t>
  </si>
  <si>
    <t>Kiwi Saver ($)</t>
  </si>
  <si>
    <t>Cumulative Household/Whānau Personal Savings ($)</t>
  </si>
  <si>
    <t>Household Income ($)</t>
  </si>
  <si>
    <t>Principal &amp; Interest Repayment on Refinance Loan Amount ($)</t>
  </si>
  <si>
    <t>Rates, Insurance per annum ($)</t>
  </si>
  <si>
    <t>4. Affordability Benchmarks</t>
  </si>
  <si>
    <t>c. Market Equivalent Rent</t>
  </si>
  <si>
    <t>Weekly household outgoings (rates, insurance, mortgage) ($/week)</t>
  </si>
  <si>
    <t>Market Equivalent Rent ($/week)</t>
  </si>
  <si>
    <t xml:space="preserve">Difference </t>
  </si>
  <si>
    <t xml:space="preserve">Loan to value % (LVR) </t>
  </si>
  <si>
    <t>Debt servicing % (DSR)</t>
  </si>
  <si>
    <t>Full Purchase</t>
  </si>
  <si>
    <t xml:space="preserve">Earliest point at which </t>
  </si>
  <si>
    <t>full purchase is possible</t>
  </si>
  <si>
    <t>Purpose:</t>
  </si>
  <si>
    <t xml:space="preserve">This page drives the 'Cashflow' tab, and is only applicable if the provider is undertaking the development themselves. </t>
  </si>
  <si>
    <t>What is the anticipated Project 'Start Date'?</t>
  </si>
  <si>
    <t>What is the anticipated Project 'End Date'?</t>
  </si>
  <si>
    <t xml:space="preserve">Typology </t>
  </si>
  <si>
    <t xml:space="preserve">Yield Analysis </t>
  </si>
  <si>
    <t xml:space="preserve">Area Metrics </t>
  </si>
  <si>
    <t xml:space="preserve">Lot 1 </t>
  </si>
  <si>
    <t>1 Bed</t>
  </si>
  <si>
    <t xml:space="preserve">Number </t>
  </si>
  <si>
    <t>Floor Area (m²)</t>
  </si>
  <si>
    <t xml:space="preserve">Land Area (m²) </t>
  </si>
  <si>
    <t xml:space="preserve">Lot 2 </t>
  </si>
  <si>
    <t>Lot 3</t>
  </si>
  <si>
    <t>2 Bed</t>
  </si>
  <si>
    <t>Lot 4</t>
  </si>
  <si>
    <t>3 Bed</t>
  </si>
  <si>
    <t xml:space="preserve">Lot 5 </t>
  </si>
  <si>
    <t>4 Bed</t>
  </si>
  <si>
    <t xml:space="preserve">Lot 6 </t>
  </si>
  <si>
    <t>5 Bed</t>
  </si>
  <si>
    <t xml:space="preserve">Lot 7 </t>
  </si>
  <si>
    <t>6 Bed</t>
  </si>
  <si>
    <t xml:space="preserve">Lot 8 </t>
  </si>
  <si>
    <t xml:space="preserve">Total </t>
  </si>
  <si>
    <t xml:space="preserve">Lot 9 </t>
  </si>
  <si>
    <t xml:space="preserve">Lot 10 </t>
  </si>
  <si>
    <t>Lot 11</t>
  </si>
  <si>
    <t>Lot 12</t>
  </si>
  <si>
    <t>Lot 13</t>
  </si>
  <si>
    <t>Lot 14</t>
  </si>
  <si>
    <t>Lot 15</t>
  </si>
  <si>
    <t>Lot 16</t>
  </si>
  <si>
    <t>Lot 17</t>
  </si>
  <si>
    <t>Lot 18</t>
  </si>
  <si>
    <t>Lot 19</t>
  </si>
  <si>
    <t>Lot 20</t>
  </si>
  <si>
    <t>Estimated Market Value</t>
  </si>
  <si>
    <t>Estimated Sale Price</t>
  </si>
  <si>
    <t xml:space="preserve">Household Share at Settlement </t>
  </si>
  <si>
    <t xml:space="preserve">Improvements </t>
  </si>
  <si>
    <t xml:space="preserve">Land </t>
  </si>
  <si>
    <t xml:space="preserve">$/dwg </t>
  </si>
  <si>
    <t xml:space="preserve">% Share </t>
  </si>
  <si>
    <t>$/dwg</t>
  </si>
  <si>
    <t>Total $</t>
  </si>
  <si>
    <t xml:space="preserve">$/sqm </t>
  </si>
  <si>
    <t xml:space="preserve">Total Construction Cost </t>
  </si>
  <si>
    <t>Contingency</t>
  </si>
  <si>
    <t xml:space="preserve">Description/Source </t>
  </si>
  <si>
    <t>Rate</t>
  </si>
  <si>
    <t xml:space="preserve">Unit </t>
  </si>
  <si>
    <t xml:space="preserve">Direct Costs </t>
  </si>
  <si>
    <t xml:space="preserve">Total Land Purchase </t>
  </si>
  <si>
    <t>Land Purchase</t>
  </si>
  <si>
    <t xml:space="preserve">Legal, Valuation etc. </t>
  </si>
  <si>
    <t xml:space="preserve">Total Land Costs </t>
  </si>
  <si>
    <t>Site Civils &amp; Infrastructure</t>
  </si>
  <si>
    <t>Offsite Infrastructure</t>
  </si>
  <si>
    <t>Excavation/ Siteworks</t>
  </si>
  <si>
    <t>Road Works</t>
  </si>
  <si>
    <t>Fencing</t>
  </si>
  <si>
    <t xml:space="preserve">Pathways </t>
  </si>
  <si>
    <t>Demolition</t>
  </si>
  <si>
    <t>Disconnections</t>
  </si>
  <si>
    <t>Electricity</t>
  </si>
  <si>
    <t>Phone</t>
  </si>
  <si>
    <t xml:space="preserve">Water   </t>
  </si>
  <si>
    <t xml:space="preserve">Total Site Civils &amp; Infrastructure </t>
  </si>
  <si>
    <t xml:space="preserve">                      </t>
  </si>
  <si>
    <t>Valuation</t>
  </si>
  <si>
    <t>Council LIM</t>
  </si>
  <si>
    <t>Urban Design</t>
  </si>
  <si>
    <t>Architecture</t>
  </si>
  <si>
    <t>Engineering / infrastructure</t>
  </si>
  <si>
    <t>Landscape Design</t>
  </si>
  <si>
    <t>Project Management</t>
  </si>
  <si>
    <t>Legal</t>
  </si>
  <si>
    <t>Insurances</t>
  </si>
  <si>
    <t xml:space="preserve">Total Professional Fees </t>
  </si>
  <si>
    <t>Council Costs</t>
  </si>
  <si>
    <t>Subdivision Consent</t>
  </si>
  <si>
    <t>Resource Consent</t>
  </si>
  <si>
    <t>Building Consent</t>
  </si>
  <si>
    <t>Development Contributions</t>
  </si>
  <si>
    <t xml:space="preserve">Other Council Costs </t>
  </si>
  <si>
    <t xml:space="preserve">Total Council Costs </t>
  </si>
  <si>
    <t xml:space="preserve">Total Project Development Costs </t>
  </si>
  <si>
    <t>Development Cost Benchmarking</t>
  </si>
  <si>
    <t>Cost</t>
  </si>
  <si>
    <t>% of Toal CC + DC</t>
  </si>
  <si>
    <t>N/A</t>
  </si>
  <si>
    <t>Council Cost (excl. Development Contributions)</t>
  </si>
  <si>
    <t>Total Project Contingency</t>
  </si>
  <si>
    <t>10-20%</t>
  </si>
  <si>
    <t>1. The costs of development and construction are being met by the sources of revenue, funding and capital input, or;</t>
  </si>
  <si>
    <t xml:space="preserve">2. That the provider will require third party lending to meet the months of deficit, and what the level of third party lending required would be. </t>
  </si>
  <si>
    <t xml:space="preserve">Key Outputs </t>
  </si>
  <si>
    <t xml:space="preserve">Finance Requirement at Project End </t>
  </si>
  <si>
    <t xml:space="preserve">1. Development Cost Timing </t>
  </si>
  <si>
    <t>Development Cost</t>
  </si>
  <si>
    <t xml:space="preserve">Month Start </t>
  </si>
  <si>
    <t xml:space="preserve">Month End </t>
  </si>
  <si>
    <t xml:space="preserve">Settlement of Land Purchase </t>
  </si>
  <si>
    <t xml:space="preserve">2. Construction cost payment, and sale of household share timing </t>
  </si>
  <si>
    <t xml:space="preserve">Property Identification </t>
  </si>
  <si>
    <t>Sale Price and Construction Cost</t>
  </si>
  <si>
    <t>Construction and Selldown Milestones (Month)</t>
  </si>
  <si>
    <t xml:space="preserve">Legal Description/Reference </t>
  </si>
  <si>
    <t xml:space="preserve">Household Share </t>
  </si>
  <si>
    <t xml:space="preserve">Construction Cost </t>
  </si>
  <si>
    <t xml:space="preserve">Construction Start </t>
  </si>
  <si>
    <t>Lock up Month</t>
  </si>
  <si>
    <t>CCC</t>
  </si>
  <si>
    <t xml:space="preserve">Settlement </t>
  </si>
  <si>
    <t>Funding Payment - Quantum</t>
  </si>
  <si>
    <t xml:space="preserve">Construction Costs Quantum </t>
  </si>
  <si>
    <t>Acquisition Contract</t>
  </si>
  <si>
    <t>Lock up</t>
  </si>
  <si>
    <t xml:space="preserve">3. PHO Loan Calculations </t>
  </si>
  <si>
    <t xml:space="preserve">Quantum of PHO funding required per Typology </t>
  </si>
  <si>
    <t xml:space="preserve">Development Option and Timing of PHO Funding </t>
  </si>
  <si>
    <t xml:space="preserve">Purchase Price </t>
  </si>
  <si>
    <t xml:space="preserve">% PHO Share </t>
  </si>
  <si>
    <t xml:space="preserve">Total PHO $ per dwg </t>
  </si>
  <si>
    <t xml:space="preserve">Acquisition Contract </t>
  </si>
  <si>
    <t xml:space="preserve">Lockup </t>
  </si>
  <si>
    <t xml:space="preserve">Completion </t>
  </si>
  <si>
    <t>Total PHO $ per typology</t>
  </si>
  <si>
    <t xml:space="preserve">Option 3: Acquisition and Construction </t>
  </si>
  <si>
    <t>Total funding per milestone</t>
  </si>
  <si>
    <t>Total PHO Funding Required</t>
  </si>
  <si>
    <t xml:space="preserve">Funding and Capital </t>
  </si>
  <si>
    <t>%</t>
  </si>
  <si>
    <t xml:space="preserve">Month </t>
  </si>
  <si>
    <t xml:space="preserve">MHUD PHO Loan </t>
  </si>
  <si>
    <t xml:space="preserve">Provider Cash Contribution </t>
  </si>
  <si>
    <t xml:space="preserve">Other Source </t>
  </si>
  <si>
    <t>Total Funding and Capital Sources</t>
  </si>
  <si>
    <t xml:space="preserve">Check </t>
  </si>
  <si>
    <t xml:space="preserve">Realisation - Sale of Household Share </t>
  </si>
  <si>
    <t>Less GST (GST)</t>
  </si>
  <si>
    <t xml:space="preserve">Development Costs </t>
  </si>
  <si>
    <t>Construction Costs</t>
  </si>
  <si>
    <t>Total Construction and Development Costs</t>
  </si>
  <si>
    <t xml:space="preserve">Profit/Loss per month </t>
  </si>
  <si>
    <t>Cumulative Project Surplus/Deficit</t>
  </si>
  <si>
    <t>Loan Milestones and drawdown</t>
  </si>
  <si>
    <t xml:space="preserve">Cumulative Provider Loan Requirement </t>
  </si>
  <si>
    <t xml:space="preserve">Cumulative Interest Cover </t>
  </si>
  <si>
    <t xml:space="preserve">Area </t>
  </si>
  <si>
    <t>Household make up</t>
  </si>
  <si>
    <t>Kiwisaver %</t>
  </si>
  <si>
    <t xml:space="preserve">Approach </t>
  </si>
  <si>
    <t xml:space="preserve">Provider </t>
  </si>
  <si>
    <t xml:space="preserve">Owned </t>
  </si>
  <si>
    <t xml:space="preserve">Shared Equity </t>
  </si>
  <si>
    <t>Market Value</t>
  </si>
  <si>
    <t>Developer</t>
  </si>
  <si>
    <t>To be purchased</t>
  </si>
  <si>
    <t xml:space="preserve">Option 1: On Completion </t>
  </si>
  <si>
    <t xml:space="preserve">Rent to Buy </t>
  </si>
  <si>
    <t>Add Legal description/RT/identifier</t>
  </si>
  <si>
    <t xml:space="preserve">Discounted Price </t>
  </si>
  <si>
    <t xml:space="preserve">Option 2: Turnkey Development </t>
  </si>
  <si>
    <t>Leasehold</t>
  </si>
  <si>
    <t>Option 4: Construction only (if you already own site)</t>
  </si>
  <si>
    <t xml:space="preserve">Urban Auckland </t>
  </si>
  <si>
    <t>Average weekly household expenditure ($)</t>
  </si>
  <si>
    <t xml:space="preserve">Location </t>
  </si>
  <si>
    <t>Household Type</t>
  </si>
  <si>
    <t xml:space="preserve">Combined </t>
  </si>
  <si>
    <t>Couple Only</t>
  </si>
  <si>
    <t>Couple with 1 dependent child</t>
  </si>
  <si>
    <t>Couple with 2 dependent children</t>
  </si>
  <si>
    <t>1 parent with dependent child(ren)</t>
  </si>
  <si>
    <t>1 person</t>
  </si>
  <si>
    <t>1 parent with dependent child (ren)</t>
  </si>
  <si>
    <t xml:space="preserve">Urban Wellington </t>
  </si>
  <si>
    <t xml:space="preserve">Rest of Urban North Island </t>
  </si>
  <si>
    <t xml:space="preserve">Couple with 2 dependent children </t>
  </si>
  <si>
    <t xml:space="preserve">Couple with 3 dependent children </t>
  </si>
  <si>
    <t xml:space="preserve">1 person </t>
  </si>
  <si>
    <t xml:space="preserve">Urban South Island </t>
  </si>
  <si>
    <t xml:space="preserve">Rural </t>
  </si>
  <si>
    <t xml:space="preserve">Inurance other and combinations </t>
  </si>
  <si>
    <t xml:space="preserve">The table below calculates if/when the household will be in a position to acquire the balance share of the property from the provider. </t>
  </si>
  <si>
    <t xml:space="preserve">The purpose of this tab is to capture all of the project inputs in terms of revenues, development and construction costs. </t>
  </si>
  <si>
    <t>Person 1</t>
  </si>
  <si>
    <t>Person 2</t>
  </si>
  <si>
    <t>Person 3</t>
  </si>
  <si>
    <t>Person 4</t>
  </si>
  <si>
    <t xml:space="preserve">Kiwisaver Contribution </t>
  </si>
  <si>
    <t>Salary (Before Tax)</t>
  </si>
  <si>
    <t>Year in which full home ownership may be achieved?</t>
  </si>
  <si>
    <t xml:space="preserve">The purpose of this tab is to demonstrate whether a household/Whānau is able to achieve full home ownership within 15 years, and therefore enable the provider to payback the PHO Loan </t>
  </si>
  <si>
    <t>Enter the Household/Whānau sources of funding to determine the residual third party lending requirement</t>
  </si>
  <si>
    <t xml:space="preserve">6. Household/Whānau Mortgage Calculator </t>
  </si>
  <si>
    <t>Enter a test interest rate and loan term below to calculate the Household/Whānau Mortgage Repayments</t>
  </si>
  <si>
    <t>Potential Household/Whānau Savings (per annum)</t>
  </si>
  <si>
    <t xml:space="preserve">2. Household/Whānau Refinancing Ability </t>
  </si>
  <si>
    <t>Total Household/Whānau Equity for Refinancing ($)</t>
  </si>
  <si>
    <t>Repaid Principal on Initial Household/Whānau Loan ($)</t>
  </si>
  <si>
    <t xml:space="preserve">3. Household/Whānau Income and Expenses </t>
  </si>
  <si>
    <t>Please fill out the green shaded boxes below:</t>
  </si>
  <si>
    <t>Weekly Income (after tax and kiwisaver)</t>
  </si>
  <si>
    <r>
      <t xml:space="preserve">a. Applicant Name </t>
    </r>
    <r>
      <rPr>
        <sz val="11"/>
        <color theme="0" tint="-0.34998626667073579"/>
        <rFont val="Calibri"/>
        <family val="2"/>
        <scheme val="minor"/>
      </rPr>
      <t>(Add household/whānau name)</t>
    </r>
  </si>
  <si>
    <r>
      <t xml:space="preserve">c. Property Identifier </t>
    </r>
    <r>
      <rPr>
        <sz val="11"/>
        <color theme="0" tint="-0.34998626667073579"/>
        <rFont val="Calibri"/>
        <family val="2"/>
        <scheme val="minor"/>
      </rPr>
      <t>(Enter Address, Legal Description etc.)</t>
    </r>
  </si>
  <si>
    <r>
      <t xml:space="preserve">d. Location for Benchmarking </t>
    </r>
    <r>
      <rPr>
        <sz val="11"/>
        <color theme="0" tint="-0.34998626667073579"/>
        <rFont val="Calibri"/>
        <family val="2"/>
        <scheme val="minor"/>
      </rPr>
      <t>(Select from list)</t>
    </r>
  </si>
  <si>
    <r>
      <t xml:space="preserve">e. Household Description </t>
    </r>
    <r>
      <rPr>
        <sz val="11"/>
        <color theme="0" tint="-0.34998626667073579"/>
        <rFont val="Calibri"/>
        <family val="2"/>
        <scheme val="minor"/>
      </rPr>
      <t>(Select from list)</t>
    </r>
  </si>
  <si>
    <r>
      <t xml:space="preserve">a. Is the applicant over 18? </t>
    </r>
    <r>
      <rPr>
        <sz val="11"/>
        <color theme="0" tint="-0.34998626667073579"/>
        <rFont val="Calibri"/>
        <family val="2"/>
        <scheme val="minor"/>
      </rPr>
      <t>(Select Yes or No)</t>
    </r>
  </si>
  <si>
    <r>
      <t xml:space="preserve">b. Does the applicant already own a home? </t>
    </r>
    <r>
      <rPr>
        <sz val="11"/>
        <color theme="0" tint="-0.34998626667073579"/>
        <rFont val="Calibri"/>
        <family val="2"/>
        <scheme val="minor"/>
      </rPr>
      <t>(Select Yes or No)</t>
    </r>
  </si>
  <si>
    <t>c. Is total household income less than or equal to $130,000 before tax?</t>
  </si>
  <si>
    <r>
      <t xml:space="preserve">Other </t>
    </r>
    <r>
      <rPr>
        <sz val="11"/>
        <color theme="0" tint="-0.34998626667073579"/>
        <rFont val="Calibri"/>
        <family val="2"/>
        <scheme val="minor"/>
      </rPr>
      <t>(please specify)</t>
    </r>
  </si>
  <si>
    <t xml:space="preserve">b. CPI Inflation </t>
  </si>
  <si>
    <t>Please enter the following inputs in the green shaded boxes:</t>
  </si>
  <si>
    <t>a. House Price Inflation -  Enter an estimate of House Price Inflation (this could be based on the 10 year average for the region). If it's agreed the purchase price will not change, please enter 0%.</t>
  </si>
  <si>
    <t>b. CPI Inflation - Enter the most up to date estimate of the Consumer Price Index (CPI)</t>
  </si>
  <si>
    <t>c. Market Equivalent Rent - Enter an estimate of the Market Rent for an equivalent home for comparison purposes</t>
  </si>
  <si>
    <t>Property Reference 
(Please Specify)</t>
  </si>
  <si>
    <t xml:space="preserve">Typology
(Select from list) </t>
  </si>
  <si>
    <t>Contingency (%)</t>
  </si>
  <si>
    <t xml:space="preserve">Please fill in the green shaded boxes below, these numbers will drive the cashflow in the following section. </t>
  </si>
  <si>
    <t xml:space="preserve">Please select from Development Option 3 or Option 4 in the green shaded box below to determine the drawdown milestones of the PHO loan payment. </t>
  </si>
  <si>
    <r>
      <t xml:space="preserve">Development Option
</t>
    </r>
    <r>
      <rPr>
        <b/>
        <sz val="11"/>
        <color theme="0" tint="-0.34998626667073579"/>
        <rFont val="Calibri"/>
        <family val="2"/>
        <scheme val="minor"/>
      </rPr>
      <t>(Select from List)</t>
    </r>
  </si>
  <si>
    <t xml:space="preserve">Maximum Finance Requirement </t>
  </si>
  <si>
    <t xml:space="preserve">Month of maximum finance requirement </t>
  </si>
  <si>
    <t>Net Realisation - Sale of Household Share</t>
  </si>
  <si>
    <t xml:space="preserve">Project Details </t>
  </si>
  <si>
    <t xml:space="preserve">Project Feasibility and Household/Whānau Affordability Financial Model 
Shared Equity </t>
  </si>
  <si>
    <t xml:space="preserve">Output  - Provider Led Development </t>
  </si>
  <si>
    <r>
      <t xml:space="preserve">Is this a provider led development or a developer led development? </t>
    </r>
    <r>
      <rPr>
        <sz val="11"/>
        <color theme="0" tint="-0.34998626667073579"/>
        <rFont val="Calibri"/>
        <family val="2"/>
        <scheme val="minor"/>
      </rPr>
      <t>(Select from the drop down)</t>
    </r>
  </si>
  <si>
    <t xml:space="preserve">Provider Led </t>
  </si>
  <si>
    <t>Developer Led</t>
  </si>
  <si>
    <r>
      <t xml:space="preserve">2. Loan to Value Ratio (LVR %) of </t>
    </r>
    <r>
      <rPr>
        <b/>
        <sz val="11"/>
        <color theme="1"/>
        <rFont val="Calibri"/>
        <family val="2"/>
        <scheme val="minor"/>
      </rPr>
      <t>&lt;70%</t>
    </r>
    <r>
      <rPr>
        <sz val="11"/>
        <color theme="1"/>
        <rFont val="Calibri"/>
        <family val="2"/>
        <scheme val="minor"/>
      </rPr>
      <t xml:space="preserve"> - The LVR % is the ratio of the loan amount to the value of the property.</t>
    </r>
  </si>
  <si>
    <r>
      <t xml:space="preserve">2. Finance Required at Completion </t>
    </r>
    <r>
      <rPr>
        <sz val="11"/>
        <color theme="0" tint="-0.34998626667073579"/>
        <rFont val="Calibri"/>
        <family val="2"/>
        <scheme val="minor"/>
      </rPr>
      <t>(Once sales income and PHO loan are received)</t>
    </r>
  </si>
  <si>
    <t xml:space="preserve">7. Full Home Ownership Assessment </t>
  </si>
  <si>
    <t>Interest on Land</t>
  </si>
  <si>
    <t>Interest on Construction &amp; Development Costs</t>
  </si>
  <si>
    <t xml:space="preserve">Key Summary Data </t>
  </si>
  <si>
    <t>Does the Provider Require Lending?</t>
  </si>
  <si>
    <t xml:space="preserve">Total Sales Income </t>
  </si>
  <si>
    <t>Expenses</t>
  </si>
  <si>
    <t xml:space="preserve">Other Funding </t>
  </si>
  <si>
    <t xml:space="preserve">Total PHO Loan and Other Funding </t>
  </si>
  <si>
    <t xml:space="preserve">Finance </t>
  </si>
  <si>
    <t xml:space="preserve">Third Party Lending </t>
  </si>
  <si>
    <t xml:space="preserve">Cashflow Milestones and Timing </t>
  </si>
  <si>
    <t xml:space="preserve">The purpose of this tab is to capture the flow of funds (revenues, funding and capital input) against the costs of development and construction, over the construction, development and sale period to demonstrate either: </t>
  </si>
  <si>
    <t>The graph below details the project surplus/deficit per month, and therefore when the Provider will need to have third party lending available to cover the costs to complete the project</t>
  </si>
  <si>
    <t xml:space="preserve">Provider Lending Requirement </t>
  </si>
  <si>
    <t>4. Providers Sources of Funding</t>
  </si>
  <si>
    <t>Total length of Project (Months)</t>
  </si>
  <si>
    <t xml:space="preserve">Project Cashflow </t>
  </si>
  <si>
    <t>Can the household afford to enter the scheme in Year 1?</t>
  </si>
  <si>
    <t>3. Dwelling Purchase Price and Ownership Structure at Settlement</t>
  </si>
  <si>
    <t xml:space="preserve">b. Household/Whānau Share of dwelling at Settlement </t>
  </si>
  <si>
    <t>c. Provider Share of dwelling at Settlement (must be no more than 45%)</t>
  </si>
  <si>
    <t>f. Household/Whānau Income (Before Tax)</t>
  </si>
  <si>
    <t xml:space="preserve">Preliminary Project Feasibility Assessment </t>
  </si>
  <si>
    <t>a. What is the cost of the land, or Market Value if it's already owned?</t>
  </si>
  <si>
    <r>
      <t xml:space="preserve">b. What are the costs associated with acquiring the land? </t>
    </r>
    <r>
      <rPr>
        <sz val="11"/>
        <color theme="0" tint="-0.34998626667073579"/>
        <rFont val="Calibri"/>
        <family val="2"/>
        <scheme val="minor"/>
      </rPr>
      <t>(e.g. legal, valuation, LIM)</t>
    </r>
  </si>
  <si>
    <t>c. How many dwellings will be built and sold?</t>
  </si>
  <si>
    <r>
      <t>d. What is the average Gross Floor Area of the expected dwellings in square metres?</t>
    </r>
    <r>
      <rPr>
        <sz val="11"/>
        <color theme="0" tint="-0.34998626667073579"/>
        <rFont val="Calibri"/>
        <family val="2"/>
        <scheme val="minor"/>
      </rPr>
      <t xml:space="preserve"> (Measured from the external walls)</t>
    </r>
  </si>
  <si>
    <t>e. What do you expect the purchase price of the dwellings will be on completion?</t>
  </si>
  <si>
    <t>f. What share of the dwellings will be purchased by households/Whānau at completion?</t>
  </si>
  <si>
    <r>
      <t>g. What is the likely build cost per square metre?</t>
    </r>
    <r>
      <rPr>
        <sz val="11"/>
        <color theme="0" tint="-0.34998626667073579"/>
        <rFont val="Calibri"/>
        <family val="2"/>
        <scheme val="minor"/>
      </rPr>
      <t xml:space="preserve"> (Measured across the Gross Floor Area)</t>
    </r>
  </si>
  <si>
    <r>
      <t xml:space="preserve">h. What is the estimated cost to develop the property? </t>
    </r>
    <r>
      <rPr>
        <sz val="11"/>
        <color theme="0" tint="-0.34998626667073579"/>
        <rFont val="Calibri"/>
        <family val="2"/>
        <scheme val="minor"/>
      </rPr>
      <t>(E.g. subdivision, consenting, site civils and infrastructure)</t>
    </r>
  </si>
  <si>
    <r>
      <t>i. What are development/financial contributions per new lot?</t>
    </r>
    <r>
      <rPr>
        <sz val="11"/>
        <color theme="0" tint="-0.34998626667073579"/>
        <rFont val="Calibri"/>
        <family val="2"/>
        <scheme val="minor"/>
      </rPr>
      <t xml:space="preserve"> (talk to your local Council)</t>
    </r>
  </si>
  <si>
    <r>
      <t xml:space="preserve">j. Provide an estimate of the cost of professional fees </t>
    </r>
    <r>
      <rPr>
        <sz val="11"/>
        <color theme="0" tint="-0.34998626667073579"/>
        <rFont val="Calibri"/>
        <family val="2"/>
        <scheme val="minor"/>
      </rPr>
      <t>(10-15% of construction cost)</t>
    </r>
  </si>
  <si>
    <r>
      <t xml:space="preserve">k. Adopt a contingency % </t>
    </r>
    <r>
      <rPr>
        <sz val="11"/>
        <color theme="0" tint="-0.34998626667073579"/>
        <rFont val="Calibri"/>
        <family val="2"/>
        <scheme val="minor"/>
      </rPr>
      <t>(Typically 10-20% of construction &amp; civils cost)</t>
    </r>
  </si>
  <si>
    <r>
      <t xml:space="preserve">l. Interest on land and construction/development costs (%) </t>
    </r>
    <r>
      <rPr>
        <sz val="11"/>
        <color theme="0" tint="-0.34998626667073579"/>
        <rFont val="Calibri"/>
        <family val="2"/>
        <scheme val="minor"/>
      </rPr>
      <t>Please specify an interest rate</t>
    </r>
  </si>
  <si>
    <r>
      <t xml:space="preserve">m. How long will planning and site development take? </t>
    </r>
    <r>
      <rPr>
        <sz val="11"/>
        <color theme="0" tint="-0.34998626667073579"/>
        <rFont val="Calibri"/>
        <family val="2"/>
        <scheme val="minor"/>
      </rPr>
      <t>(Months)</t>
    </r>
  </si>
  <si>
    <r>
      <t xml:space="preserve">n. How long will construction take? </t>
    </r>
    <r>
      <rPr>
        <sz val="11"/>
        <color theme="0" tint="-0.34998626667073579"/>
        <rFont val="Calibri"/>
        <family val="2"/>
        <scheme val="minor"/>
      </rPr>
      <t>(Months)</t>
    </r>
  </si>
  <si>
    <r>
      <t xml:space="preserve">o. How long will it take to sell the dwellings? </t>
    </r>
    <r>
      <rPr>
        <sz val="11"/>
        <color theme="0" tint="-0.34998626667073579"/>
        <rFont val="Calibri"/>
        <family val="2"/>
        <scheme val="minor"/>
      </rPr>
      <t>(Months)</t>
    </r>
  </si>
  <si>
    <r>
      <t xml:space="preserve">p. If a developer is undertaking the development, what level of profit would they expect to receive? </t>
    </r>
    <r>
      <rPr>
        <sz val="11"/>
        <color theme="0" tint="-0.34998626667073579"/>
        <rFont val="Calibri"/>
        <family val="2"/>
        <scheme val="minor"/>
      </rPr>
      <t>(% of outlay)</t>
    </r>
  </si>
  <si>
    <t xml:space="preserve">Table 3. Preliminary Feasibility Budget </t>
  </si>
  <si>
    <t xml:space="preserve">a. What share of the dwelling sale price would you be seeking PHO funding for? </t>
  </si>
  <si>
    <t>b. Do you have any other sources of funding, if so, please specify and quantify below:</t>
  </si>
  <si>
    <t xml:space="preserve">Output 1 - Developer Led Development </t>
  </si>
  <si>
    <t>Estimated additional lending required to purchase dwellings from developer</t>
  </si>
  <si>
    <r>
      <t xml:space="preserve">1. Estimated total lending facility required throughout project </t>
    </r>
    <r>
      <rPr>
        <sz val="11"/>
        <color theme="0" tint="-0.34998626667073579"/>
        <rFont val="Calibri"/>
        <family val="2"/>
        <scheme val="minor"/>
      </rPr>
      <t>(without PHO loan)</t>
    </r>
  </si>
  <si>
    <t xml:space="preserve">Detailed Project Feasibility </t>
  </si>
  <si>
    <t xml:space="preserve">Detailed Feasibility Inputs </t>
  </si>
  <si>
    <t>1. Affordable Housing Model (AHM) - To demonstrate whether a household/Whānau can afford to acquire full home ownership within 15 years, therefore allowing the Provider to repay the PHO loan to MHUD</t>
  </si>
  <si>
    <t>Start of Year 1 - Debt Servicing Percent</t>
  </si>
  <si>
    <t>Start of Year 1 - Loan to Value Ratio</t>
  </si>
  <si>
    <t>5. Household/Whānau Affordability at Start of Year 1</t>
  </si>
  <si>
    <t xml:space="preserve">c. First Home Grant </t>
  </si>
  <si>
    <t xml:space="preserve">3. Detailed Feasibility Inputs/Detailed Feasibility - Provides a more detailed approach to project viability, calculates approximately how much third party lending the Provider will require if they are undertaking the development themselves. </t>
  </si>
  <si>
    <t>&lt;70,=&lt;30</t>
  </si>
  <si>
    <t xml:space="preserve">1. Property Identification and Typology </t>
  </si>
  <si>
    <t>2. Yield Analysis and Area Metrics</t>
  </si>
  <si>
    <t>3. Estimated Market Value, Sale Price and Household Share at Settlement</t>
  </si>
  <si>
    <t>4. Construction Costs (CC)</t>
  </si>
  <si>
    <t>5. Project Development Costs (DC)</t>
  </si>
  <si>
    <t xml:space="preserve">2. Preliminary Feasibility - An initial high level preliminary project feasiblity assessment to determine whether a project is viable.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</si>
</sst>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7" formatCode="&quot;$&quot;#,##0.00;\-&quot;$&quot;#,##0.00"/>
    <numFmt numFmtId="8" formatCode="&quot;$&quot;#,##0.00;[Red]\-&quot;$&quot;#,##0.00"/>
    <numFmt numFmtId="43" formatCode="_-* #,##0.00_-;\-* #,##0.00_-;_-* &quot;-&quot;??_-;_-@_-"/>
    <numFmt numFmtId="164" formatCode="0.0%"/>
    <numFmt numFmtId="165" formatCode="_-* #,##0_-;\-* #,##0_-;_-* &quot;-&quot;??_-;_-@_-"/>
    <numFmt numFmtId="166" formatCode="&quot;$&quot;#,##0"/>
    <numFmt numFmtId="167" formatCode="&quot;$&quot;#,##0;[Red]\(&quot;$&quot;#,##0\)"/>
    <numFmt numFmtId="168" formatCode="#,##0.00_ ;\(#,##0.00\)"/>
    <numFmt numFmtId="169" formatCode="#,##0.00_ ;\-#,##0.00\ "/>
    <numFmt numFmtId="170" formatCode="&quot;$&quot;#,##0.0;\-&quot;$&quot;#,##0.0"/>
  </numFmts>
  <fonts count="51"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sz val="8"/>
      <color theme="1"/>
      <name val="Calibri"/>
      <family val="2"/>
      <scheme val="minor"/>
    </font>
    <font>
      <sz val="11"/>
      <name val="Calibri"/>
      <family val="2"/>
      <scheme val="minor"/>
    </font>
    <font>
      <sz val="10"/>
      <name val="Arial"/>
      <family val="2"/>
    </font>
    <font>
      <b/>
      <sz val="11"/>
      <name val="Arial"/>
      <family val="2"/>
    </font>
    <font>
      <b/>
      <u/>
      <sz val="11"/>
      <name val="Calibri"/>
      <family val="2"/>
      <scheme val="minor"/>
    </font>
    <font>
      <u/>
      <sz val="11"/>
      <name val="Calibri"/>
      <family val="2"/>
      <scheme val="minor"/>
    </font>
    <font>
      <b/>
      <sz val="11"/>
      <color theme="1"/>
      <name val="Arial"/>
      <family val="2"/>
    </font>
    <font>
      <b/>
      <u val="singleAccounting"/>
      <sz val="11"/>
      <color theme="1"/>
      <name val="Arial"/>
      <family val="2"/>
    </font>
    <font>
      <sz val="11"/>
      <color theme="0" tint="-0.34998626667073579"/>
      <name val="Calibri"/>
      <family val="2"/>
      <scheme val="minor"/>
    </font>
    <font>
      <sz val="11"/>
      <color theme="1"/>
      <name val="Arial"/>
      <family val="2"/>
    </font>
    <font>
      <u val="singleAccounting"/>
      <sz val="11"/>
      <color theme="1"/>
      <name val="Arial"/>
      <family val="2"/>
    </font>
    <font>
      <u val="singleAccounting"/>
      <sz val="11"/>
      <color theme="1"/>
      <name val="Calibri"/>
      <family val="2"/>
      <scheme val="minor"/>
    </font>
    <font>
      <sz val="11"/>
      <name val="Arial"/>
      <family val="2"/>
    </font>
    <font>
      <i/>
      <sz val="11"/>
      <color theme="1"/>
      <name val="Calibri"/>
      <family val="2"/>
      <scheme val="minor"/>
    </font>
    <font>
      <u/>
      <sz val="11"/>
      <color theme="1"/>
      <name val="Calibri"/>
      <family val="2"/>
      <scheme val="minor"/>
    </font>
    <font>
      <b/>
      <sz val="11"/>
      <color indexed="8"/>
      <name val="Calibri"/>
      <family val="2"/>
      <scheme val="minor"/>
    </font>
    <font>
      <sz val="10"/>
      <name val="Calibri"/>
      <family val="2"/>
      <scheme val="minor"/>
    </font>
    <font>
      <sz val="11"/>
      <color theme="0" tint="-4.9989318521683403E-2"/>
      <name val="Calibri"/>
      <family val="2"/>
      <scheme val="minor"/>
    </font>
    <font>
      <b/>
      <sz val="11"/>
      <color rgb="FFFF0000"/>
      <name val="Calibri"/>
      <family val="2"/>
      <scheme val="minor"/>
    </font>
    <font>
      <sz val="12"/>
      <color theme="1"/>
      <name val="Calibri"/>
      <family val="2"/>
      <scheme val="minor"/>
    </font>
    <font>
      <i/>
      <sz val="10"/>
      <color theme="1"/>
      <name val="Calibri"/>
      <family val="2"/>
      <scheme val="minor"/>
    </font>
    <font>
      <sz val="10"/>
      <color rgb="FFFF0000"/>
      <name val="Calibri"/>
      <family val="2"/>
      <scheme val="minor"/>
    </font>
    <font>
      <b/>
      <u/>
      <sz val="11"/>
      <color theme="1"/>
      <name val="Calibri"/>
      <family val="2"/>
      <scheme val="minor"/>
    </font>
    <font>
      <b/>
      <sz val="11"/>
      <color rgb="FFFF9900"/>
      <name val="Calibri"/>
      <family val="2"/>
      <scheme val="minor"/>
    </font>
    <font>
      <i/>
      <sz val="9"/>
      <color theme="1"/>
      <name val="Calibri"/>
      <family val="2"/>
      <scheme val="minor"/>
    </font>
    <font>
      <b/>
      <sz val="16"/>
      <color theme="1"/>
      <name val="Calibri"/>
      <family val="2"/>
      <scheme val="minor"/>
    </font>
    <font>
      <i/>
      <sz val="11"/>
      <name val="Calibri"/>
      <family val="2"/>
      <scheme val="minor"/>
    </font>
    <font>
      <u/>
      <sz val="12"/>
      <name val="Calibri"/>
      <family val="2"/>
      <scheme val="minor"/>
    </font>
    <font>
      <sz val="12"/>
      <name val="Calibri"/>
      <family val="2"/>
      <scheme val="minor"/>
    </font>
    <font>
      <sz val="12"/>
      <color rgb="FFFFC000"/>
      <name val="Calibri"/>
      <family val="2"/>
      <scheme val="minor"/>
    </font>
    <font>
      <b/>
      <sz val="12"/>
      <color rgb="FFFF9900"/>
      <name val="Calibri"/>
      <family val="2"/>
      <scheme val="minor"/>
    </font>
    <font>
      <b/>
      <sz val="18"/>
      <color theme="1"/>
      <name val="Calibri"/>
      <family val="2"/>
      <scheme val="minor"/>
    </font>
    <font>
      <i/>
      <sz val="10"/>
      <color theme="0" tint="-0.34998626667073579"/>
      <name val="Calibri"/>
      <family val="2"/>
      <scheme val="minor"/>
    </font>
    <font>
      <i/>
      <sz val="10"/>
      <name val="Calibri"/>
      <family val="2"/>
      <scheme val="minor"/>
    </font>
    <font>
      <i/>
      <sz val="11"/>
      <color theme="0" tint="-0.34998626667073579"/>
      <name val="Calibri"/>
      <family val="2"/>
      <scheme val="minor"/>
    </font>
    <font>
      <b/>
      <sz val="11"/>
      <color theme="0" tint="-0.34998626667073579"/>
      <name val="Calibri"/>
      <family val="2"/>
      <scheme val="minor"/>
    </font>
    <font>
      <sz val="12"/>
      <color theme="0"/>
      <name val="Calibri"/>
      <family val="2"/>
      <scheme val="minor"/>
    </font>
    <font>
      <b/>
      <sz val="16"/>
      <name val="Calibri"/>
      <family val="2"/>
      <scheme val="minor"/>
    </font>
    <font>
      <b/>
      <sz val="11"/>
      <color rgb="FF00B050"/>
      <name val="Calibri"/>
      <family val="2"/>
      <scheme val="minor"/>
    </font>
    <font>
      <b/>
      <sz val="11"/>
      <color rgb="FFFFC000"/>
      <name val="Calibri"/>
      <family val="2"/>
      <scheme val="minor"/>
    </font>
    <font>
      <sz val="11"/>
      <color theme="1" tint="0.499984740745262"/>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rgb="FFFFE48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FFCC00"/>
        <bgColor indexed="64"/>
      </patternFill>
    </fill>
    <fill>
      <patternFill patternType="solid">
        <fgColor theme="4" tint="0.39997558519241921"/>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right style="thin">
        <color theme="0" tint="-0.34998626667073579"/>
      </right>
      <top style="thin">
        <color theme="0" tint="-0.34998626667073579"/>
      </top>
      <bottom/>
      <diagonal/>
    </border>
    <border>
      <left style="thin">
        <color theme="0" tint="-0.34998626667073579"/>
      </left>
      <right/>
      <top/>
      <bottom style="thin">
        <color indexed="64"/>
      </bottom>
      <diagonal/>
    </border>
    <border>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right style="thin">
        <color theme="0" tint="-0.34998626667073579"/>
      </right>
      <top/>
      <bottom style="thin">
        <color indexed="64"/>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style="thin">
        <color theme="0" tint="-0.34998626667073579"/>
      </top>
      <bottom/>
      <diagonal/>
    </border>
    <border>
      <left style="medium">
        <color rgb="FFFFC000"/>
      </left>
      <right style="medium">
        <color rgb="FFFFC000"/>
      </right>
      <top style="medium">
        <color rgb="FFFFC000"/>
      </top>
      <bottom style="medium">
        <color rgb="FFFFC000"/>
      </bottom>
      <diagonal/>
    </border>
    <border>
      <left style="medium">
        <color rgb="FFFFC000"/>
      </left>
      <right/>
      <top/>
      <bottom/>
      <diagonal/>
    </border>
    <border>
      <left/>
      <right style="medium">
        <color rgb="FFFFC000"/>
      </right>
      <top/>
      <bottom/>
      <diagonal/>
    </border>
    <border>
      <left style="medium">
        <color rgb="FFFF9900"/>
      </left>
      <right style="thin">
        <color indexed="64"/>
      </right>
      <top style="medium">
        <color rgb="FFFF9900"/>
      </top>
      <bottom style="medium">
        <color rgb="FFFF9900"/>
      </bottom>
      <diagonal/>
    </border>
    <border>
      <left style="medium">
        <color rgb="FFFFCC00"/>
      </left>
      <right/>
      <top style="medium">
        <color rgb="FFFFCC00"/>
      </top>
      <bottom/>
      <diagonal/>
    </border>
    <border>
      <left/>
      <right/>
      <top style="medium">
        <color rgb="FFFFCC00"/>
      </top>
      <bottom/>
      <diagonal/>
    </border>
    <border>
      <left/>
      <right style="medium">
        <color rgb="FFFFCC00"/>
      </right>
      <top style="medium">
        <color rgb="FFFFCC00"/>
      </top>
      <bottom/>
      <diagonal/>
    </border>
    <border>
      <left style="medium">
        <color rgb="FFFFCC00"/>
      </left>
      <right/>
      <top/>
      <bottom/>
      <diagonal/>
    </border>
    <border>
      <left/>
      <right style="medium">
        <color rgb="FFFFCC00"/>
      </right>
      <top/>
      <bottom/>
      <diagonal/>
    </border>
    <border>
      <left style="medium">
        <color rgb="FFFFCC00"/>
      </left>
      <right/>
      <top/>
      <bottom style="medium">
        <color rgb="FFFFCC00"/>
      </bottom>
      <diagonal/>
    </border>
    <border>
      <left/>
      <right/>
      <top/>
      <bottom style="medium">
        <color rgb="FFFFCC00"/>
      </bottom>
      <diagonal/>
    </border>
    <border>
      <left/>
      <right style="medium">
        <color rgb="FFFFCC00"/>
      </right>
      <top/>
      <bottom style="medium">
        <color rgb="FFFFCC00"/>
      </bottom>
      <diagonal/>
    </border>
    <border>
      <left style="thin">
        <color indexed="64"/>
      </left>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medium">
        <color rgb="FFFFCC00"/>
      </left>
      <right/>
      <top style="medium">
        <color rgb="FFFFCC00"/>
      </top>
      <bottom style="medium">
        <color rgb="FFFFCC00"/>
      </bottom>
      <diagonal/>
    </border>
    <border>
      <left/>
      <right/>
      <top style="medium">
        <color rgb="FFFFCC00"/>
      </top>
      <bottom style="medium">
        <color rgb="FFFFCC00"/>
      </bottom>
      <diagonal/>
    </border>
    <border>
      <left/>
      <right style="medium">
        <color rgb="FFFFCC00"/>
      </right>
      <top style="medium">
        <color rgb="FFFFCC00"/>
      </top>
      <bottom style="medium">
        <color rgb="FFFFCC00"/>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xf numFmtId="0" fontId="1" fillId="0" borderId="0"/>
    <xf numFmtId="9" fontId="12" fillId="0" borderId="0" applyFont="0" applyFill="0" applyBorder="0" applyAlignment="0" applyProtection="0"/>
  </cellStyleXfs>
  <cellXfs count="754">
    <xf numFmtId="0" fontId="0" fillId="0" borderId="0" xfId="0"/>
    <xf numFmtId="0" fontId="0" fillId="2" borderId="0" xfId="0" applyFill="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7" fillId="2" borderId="0" xfId="0" applyFont="1" applyFill="1"/>
    <xf numFmtId="0" fontId="0" fillId="2" borderId="5" xfId="0" applyFill="1" applyBorder="1" applyAlignment="1">
      <alignment horizontal="center"/>
    </xf>
    <xf numFmtId="0" fontId="7" fillId="2" borderId="4" xfId="0" applyFont="1" applyFill="1" applyBorder="1"/>
    <xf numFmtId="0" fontId="7" fillId="2" borderId="5" xfId="0" applyFont="1" applyFill="1" applyBorder="1" applyAlignment="1">
      <alignment horizontal="center"/>
    </xf>
    <xf numFmtId="0" fontId="0" fillId="2" borderId="9" xfId="0" applyFill="1" applyBorder="1"/>
    <xf numFmtId="0" fontId="0" fillId="2" borderId="10" xfId="0" applyFill="1" applyBorder="1"/>
    <xf numFmtId="0" fontId="9" fillId="2" borderId="0" xfId="0" applyFont="1" applyFill="1"/>
    <xf numFmtId="0" fontId="4" fillId="2" borderId="0" xfId="0" applyFont="1" applyFill="1"/>
    <xf numFmtId="0" fontId="9" fillId="2" borderId="0" xfId="0" applyFont="1" applyFill="1" applyAlignment="1">
      <alignment vertical="center"/>
    </xf>
    <xf numFmtId="0" fontId="11" fillId="2" borderId="0" xfId="0" applyFont="1" applyFill="1"/>
    <xf numFmtId="0" fontId="0" fillId="2" borderId="11" xfId="0" applyFill="1" applyBorder="1"/>
    <xf numFmtId="0" fontId="4" fillId="2" borderId="8" xfId="0" applyFont="1" applyFill="1" applyBorder="1" applyAlignment="1">
      <alignment horizontal="center"/>
    </xf>
    <xf numFmtId="0" fontId="7" fillId="2" borderId="9" xfId="0" applyFont="1" applyFill="1" applyBorder="1"/>
    <xf numFmtId="0" fontId="4" fillId="2" borderId="0" xfId="0" applyFont="1" applyFill="1" applyAlignment="1">
      <alignment horizontal="left"/>
    </xf>
    <xf numFmtId="0" fontId="0" fillId="4" borderId="8" xfId="0" applyFill="1" applyBorder="1" applyAlignment="1">
      <alignment horizontal="center"/>
    </xf>
    <xf numFmtId="0" fontId="0" fillId="4" borderId="9" xfId="0" applyFill="1" applyBorder="1"/>
    <xf numFmtId="0" fontId="0" fillId="4" borderId="5" xfId="0" applyFill="1" applyBorder="1" applyAlignment="1">
      <alignment horizontal="center"/>
    </xf>
    <xf numFmtId="5" fontId="0" fillId="2" borderId="5" xfId="0" applyNumberFormat="1" applyFill="1" applyBorder="1" applyAlignment="1">
      <alignment horizontal="center"/>
    </xf>
    <xf numFmtId="5" fontId="0" fillId="2" borderId="10" xfId="0" applyNumberFormat="1" applyFill="1" applyBorder="1" applyAlignment="1">
      <alignment horizontal="center"/>
    </xf>
    <xf numFmtId="5" fontId="4" fillId="2" borderId="11" xfId="0" applyNumberFormat="1" applyFont="1" applyFill="1" applyBorder="1" applyAlignment="1">
      <alignment horizontal="center"/>
    </xf>
    <xf numFmtId="0" fontId="13" fillId="2" borderId="0" xfId="3" applyFont="1" applyFill="1" applyAlignment="1">
      <alignment horizontal="center"/>
    </xf>
    <xf numFmtId="0" fontId="14" fillId="2" borderId="4" xfId="3" applyFont="1" applyFill="1" applyBorder="1" applyAlignment="1">
      <alignment horizontal="left" indent="1"/>
    </xf>
    <xf numFmtId="0" fontId="9" fillId="2" borderId="5" xfId="3" applyFont="1" applyFill="1" applyBorder="1" applyAlignment="1">
      <alignment horizontal="center"/>
    </xf>
    <xf numFmtId="0" fontId="15" fillId="2" borderId="4" xfId="3" applyFont="1" applyFill="1" applyBorder="1" applyAlignment="1">
      <alignment horizontal="left" indent="1"/>
    </xf>
    <xf numFmtId="1" fontId="11" fillId="2" borderId="0" xfId="3" applyNumberFormat="1" applyFont="1" applyFill="1" applyAlignment="1">
      <alignment horizontal="center"/>
    </xf>
    <xf numFmtId="165" fontId="0" fillId="2" borderId="0" xfId="1" applyNumberFormat="1" applyFont="1" applyFill="1" applyBorder="1" applyAlignment="1" applyProtection="1">
      <alignment horizontal="center"/>
      <protection locked="0"/>
    </xf>
    <xf numFmtId="0" fontId="0" fillId="0" borderId="5" xfId="0" applyBorder="1"/>
    <xf numFmtId="165" fontId="16" fillId="2" borderId="0" xfId="1" applyNumberFormat="1" applyFont="1" applyFill="1" applyBorder="1" applyProtection="1">
      <protection locked="0"/>
    </xf>
    <xf numFmtId="5" fontId="17" fillId="2" borderId="0" xfId="1" applyNumberFormat="1" applyFont="1" applyFill="1" applyBorder="1" applyProtection="1"/>
    <xf numFmtId="0" fontId="11" fillId="2" borderId="4" xfId="3" applyFont="1" applyFill="1" applyBorder="1" applyAlignment="1">
      <alignment horizontal="left" indent="7"/>
    </xf>
    <xf numFmtId="1" fontId="11" fillId="8" borderId="0" xfId="3" applyNumberFormat="1" applyFont="1" applyFill="1" applyAlignment="1" applyProtection="1">
      <alignment horizontal="center"/>
      <protection locked="0"/>
    </xf>
    <xf numFmtId="5" fontId="0" fillId="8" borderId="0" xfId="1" applyNumberFormat="1" applyFont="1" applyFill="1" applyBorder="1" applyAlignment="1" applyProtection="1">
      <alignment horizontal="center"/>
      <protection locked="0"/>
    </xf>
    <xf numFmtId="5" fontId="0" fillId="2" borderId="5" xfId="1" applyNumberFormat="1" applyFont="1" applyFill="1" applyBorder="1" applyAlignment="1" applyProtection="1">
      <alignment horizontal="center"/>
    </xf>
    <xf numFmtId="9" fontId="18" fillId="2" borderId="0" xfId="2" applyFont="1" applyFill="1" applyBorder="1" applyAlignment="1" applyProtection="1">
      <alignment horizontal="center"/>
    </xf>
    <xf numFmtId="165" fontId="19" fillId="2" borderId="0" xfId="1" applyNumberFormat="1" applyFont="1" applyFill="1" applyBorder="1" applyProtection="1">
      <protection locked="0"/>
    </xf>
    <xf numFmtId="5" fontId="19" fillId="2" borderId="0" xfId="1" applyNumberFormat="1" applyFont="1" applyFill="1" applyBorder="1" applyProtection="1"/>
    <xf numFmtId="0" fontId="9" fillId="2" borderId="9" xfId="3" applyFont="1" applyFill="1" applyBorder="1" applyAlignment="1">
      <alignment horizontal="left" indent="6"/>
    </xf>
    <xf numFmtId="5" fontId="4" fillId="2" borderId="5" xfId="1" applyNumberFormat="1" applyFont="1" applyFill="1" applyBorder="1" applyAlignment="1" applyProtection="1">
      <alignment horizontal="center"/>
    </xf>
    <xf numFmtId="9" fontId="4" fillId="2" borderId="0" xfId="2" applyFont="1" applyFill="1" applyBorder="1" applyAlignment="1" applyProtection="1">
      <alignment horizontal="center"/>
    </xf>
    <xf numFmtId="5" fontId="20" fillId="2" borderId="0" xfId="1" applyNumberFormat="1" applyFont="1" applyFill="1" applyBorder="1" applyProtection="1">
      <protection locked="0"/>
    </xf>
    <xf numFmtId="0" fontId="15" fillId="2" borderId="6" xfId="3" applyFont="1" applyFill="1" applyBorder="1" applyAlignment="1">
      <alignment horizontal="left" indent="1"/>
    </xf>
    <xf numFmtId="1" fontId="11" fillId="2" borderId="7" xfId="3" applyNumberFormat="1" applyFont="1" applyFill="1" applyBorder="1" applyAlignment="1">
      <alignment horizontal="center"/>
    </xf>
    <xf numFmtId="5" fontId="0" fillId="2" borderId="7" xfId="1" applyNumberFormat="1" applyFont="1" applyFill="1" applyBorder="1" applyAlignment="1" applyProtection="1">
      <alignment horizontal="center"/>
      <protection locked="0"/>
    </xf>
    <xf numFmtId="165" fontId="0" fillId="2" borderId="7" xfId="1" applyNumberFormat="1" applyFont="1" applyFill="1" applyBorder="1" applyAlignment="1" applyProtection="1">
      <alignment horizontal="center"/>
      <protection locked="0"/>
    </xf>
    <xf numFmtId="5" fontId="21" fillId="2" borderId="8" xfId="1" applyNumberFormat="1" applyFont="1" applyFill="1" applyBorder="1" applyAlignment="1" applyProtection="1">
      <alignment horizontal="center"/>
      <protection locked="0"/>
    </xf>
    <xf numFmtId="9" fontId="0" fillId="2" borderId="0" xfId="2" applyFont="1" applyFill="1" applyBorder="1" applyAlignment="1" applyProtection="1">
      <alignment horizontal="center"/>
    </xf>
    <xf numFmtId="0" fontId="11" fillId="2" borderId="4" xfId="3" applyFont="1" applyFill="1" applyBorder="1" applyAlignment="1">
      <alignment horizontal="left" indent="6"/>
    </xf>
    <xf numFmtId="5" fontId="19" fillId="2" borderId="0" xfId="1" applyNumberFormat="1" applyFont="1" applyFill="1" applyBorder="1" applyProtection="1">
      <protection locked="0"/>
    </xf>
    <xf numFmtId="0" fontId="0" fillId="2" borderId="0" xfId="2" applyNumberFormat="1" applyFont="1" applyFill="1" applyBorder="1" applyAlignment="1" applyProtection="1">
      <alignment horizontal="center"/>
      <protection locked="0"/>
    </xf>
    <xf numFmtId="0" fontId="0" fillId="2" borderId="0" xfId="1" applyNumberFormat="1" applyFont="1" applyFill="1" applyBorder="1" applyAlignment="1" applyProtection="1">
      <alignment horizontal="center"/>
      <protection locked="0"/>
    </xf>
    <xf numFmtId="1" fontId="9" fillId="2" borderId="10" xfId="3" applyNumberFormat="1" applyFont="1" applyFill="1" applyBorder="1" applyAlignment="1">
      <alignment horizontal="center"/>
    </xf>
    <xf numFmtId="5" fontId="4" fillId="2" borderId="10" xfId="1" applyNumberFormat="1" applyFont="1" applyFill="1" applyBorder="1" applyAlignment="1" applyProtection="1">
      <alignment horizontal="center"/>
      <protection locked="0"/>
    </xf>
    <xf numFmtId="0" fontId="4" fillId="2" borderId="10" xfId="0" applyFont="1" applyFill="1" applyBorder="1" applyAlignment="1">
      <alignment horizontal="center"/>
    </xf>
    <xf numFmtId="5" fontId="4" fillId="2" borderId="11" xfId="1" applyNumberFormat="1" applyFont="1" applyFill="1" applyBorder="1" applyAlignment="1" applyProtection="1">
      <alignment horizontal="center"/>
    </xf>
    <xf numFmtId="9" fontId="0" fillId="2" borderId="0" xfId="0" applyNumberFormat="1" applyFill="1"/>
    <xf numFmtId="0" fontId="4" fillId="2" borderId="0" xfId="1" applyNumberFormat="1" applyFont="1" applyFill="1" applyBorder="1" applyProtection="1">
      <protection locked="0"/>
    </xf>
    <xf numFmtId="5" fontId="16" fillId="2" borderId="0" xfId="1" applyNumberFormat="1" applyFont="1" applyFill="1" applyBorder="1" applyProtection="1">
      <protection locked="0"/>
    </xf>
    <xf numFmtId="0" fontId="11" fillId="2" borderId="7" xfId="3" applyFont="1" applyFill="1" applyBorder="1" applyAlignment="1">
      <alignment horizontal="center"/>
    </xf>
    <xf numFmtId="5" fontId="11" fillId="2" borderId="7" xfId="3" applyNumberFormat="1" applyFont="1" applyFill="1" applyBorder="1" applyAlignment="1">
      <alignment horizontal="center"/>
    </xf>
    <xf numFmtId="0" fontId="22" fillId="2" borderId="0" xfId="3" applyFont="1" applyFill="1"/>
    <xf numFmtId="0" fontId="11" fillId="2" borderId="10" xfId="3" applyFont="1" applyFill="1" applyBorder="1" applyAlignment="1">
      <alignment horizontal="center"/>
    </xf>
    <xf numFmtId="5" fontId="11" fillId="2" borderId="10" xfId="3" applyNumberFormat="1" applyFont="1" applyFill="1" applyBorder="1" applyAlignment="1">
      <alignment horizontal="center"/>
    </xf>
    <xf numFmtId="0" fontId="11" fillId="2" borderId="0" xfId="3" applyFont="1" applyFill="1" applyAlignment="1">
      <alignment horizontal="center"/>
    </xf>
    <xf numFmtId="5" fontId="11" fillId="2" borderId="0" xfId="3" applyNumberFormat="1" applyFont="1" applyFill="1" applyAlignment="1">
      <alignment horizontal="center"/>
    </xf>
    <xf numFmtId="0" fontId="9" fillId="2" borderId="4" xfId="3" applyFont="1" applyFill="1" applyBorder="1" applyAlignment="1">
      <alignment horizontal="left" indent="6"/>
    </xf>
    <xf numFmtId="0" fontId="0" fillId="2" borderId="0" xfId="1" applyNumberFormat="1" applyFont="1" applyFill="1" applyBorder="1" applyProtection="1">
      <protection locked="0"/>
    </xf>
    <xf numFmtId="164" fontId="11" fillId="2" borderId="0" xfId="3" applyNumberFormat="1" applyFont="1" applyFill="1" applyAlignment="1">
      <alignment horizontal="center"/>
    </xf>
    <xf numFmtId="9" fontId="11" fillId="2" borderId="0" xfId="2" applyFont="1" applyFill="1" applyBorder="1" applyAlignment="1" applyProtection="1">
      <alignment horizontal="center"/>
    </xf>
    <xf numFmtId="0" fontId="9" fillId="2" borderId="1" xfId="3" applyFont="1" applyFill="1" applyBorder="1" applyAlignment="1">
      <alignment horizontal="left" indent="1"/>
    </xf>
    <xf numFmtId="0" fontId="9" fillId="2" borderId="2" xfId="3" applyFont="1" applyFill="1" applyBorder="1" applyAlignment="1">
      <alignment horizontal="center"/>
    </xf>
    <xf numFmtId="0" fontId="11" fillId="2" borderId="2" xfId="3" applyFont="1" applyFill="1" applyBorder="1" applyAlignment="1">
      <alignment horizontal="center"/>
    </xf>
    <xf numFmtId="5" fontId="9" fillId="2" borderId="3" xfId="1" applyNumberFormat="1" applyFont="1" applyFill="1" applyBorder="1" applyAlignment="1" applyProtection="1">
      <alignment horizontal="center"/>
    </xf>
    <xf numFmtId="9" fontId="9" fillId="2" borderId="0" xfId="2" applyFont="1" applyFill="1" applyBorder="1" applyAlignment="1" applyProtection="1">
      <alignment horizontal="center"/>
    </xf>
    <xf numFmtId="0" fontId="9" fillId="2" borderId="0" xfId="1" applyNumberFormat="1" applyFont="1" applyFill="1" applyBorder="1" applyProtection="1"/>
    <xf numFmtId="5" fontId="13" fillId="2" borderId="0" xfId="1" applyNumberFormat="1" applyFont="1" applyFill="1" applyBorder="1" applyProtection="1"/>
    <xf numFmtId="164" fontId="0" fillId="2" borderId="0" xfId="2" applyNumberFormat="1" applyFont="1" applyFill="1" applyBorder="1" applyAlignment="1" applyProtection="1">
      <alignment horizontal="center"/>
    </xf>
    <xf numFmtId="164" fontId="0" fillId="2" borderId="10" xfId="2" applyNumberFormat="1" applyFont="1" applyFill="1" applyBorder="1" applyAlignment="1" applyProtection="1">
      <alignment horizontal="center"/>
    </xf>
    <xf numFmtId="0" fontId="0" fillId="2" borderId="0" xfId="0" applyFill="1" applyAlignment="1">
      <alignment horizontal="left"/>
    </xf>
    <xf numFmtId="0" fontId="3" fillId="2" borderId="0" xfId="0" applyFont="1" applyFill="1"/>
    <xf numFmtId="166" fontId="4" fillId="2" borderId="0" xfId="0" applyNumberFormat="1" applyFont="1" applyFill="1" applyAlignment="1">
      <alignment horizontal="center"/>
    </xf>
    <xf numFmtId="6" fontId="0" fillId="2" borderId="0" xfId="0" applyNumberFormat="1" applyFill="1" applyAlignment="1">
      <alignment horizontal="center"/>
    </xf>
    <xf numFmtId="5" fontId="0" fillId="2" borderId="0" xfId="0" applyNumberFormat="1" applyFill="1"/>
    <xf numFmtId="3" fontId="4" fillId="2" borderId="0" xfId="0" applyNumberFormat="1" applyFont="1" applyFill="1" applyAlignment="1">
      <alignment horizontal="center"/>
    </xf>
    <xf numFmtId="0" fontId="4" fillId="5" borderId="6" xfId="0" applyFont="1" applyFill="1" applyBorder="1"/>
    <xf numFmtId="0" fontId="5" fillId="2" borderId="0" xfId="0" applyFont="1" applyFill="1"/>
    <xf numFmtId="9" fontId="27" fillId="5" borderId="4" xfId="2" applyFont="1" applyFill="1" applyBorder="1" applyAlignment="1">
      <alignment horizontal="center"/>
    </xf>
    <xf numFmtId="9" fontId="27" fillId="5" borderId="0" xfId="2" applyFont="1" applyFill="1" applyBorder="1" applyAlignment="1">
      <alignment horizontal="center"/>
    </xf>
    <xf numFmtId="0" fontId="5" fillId="2" borderId="0" xfId="0" applyFont="1" applyFill="1" applyAlignment="1">
      <alignment horizontal="center"/>
    </xf>
    <xf numFmtId="5" fontId="5" fillId="2" borderId="0" xfId="0" applyNumberFormat="1" applyFont="1" applyFill="1" applyAlignment="1">
      <alignment horizontal="center"/>
    </xf>
    <xf numFmtId="5" fontId="5" fillId="2" borderId="0" xfId="0" applyNumberFormat="1" applyFont="1" applyFill="1"/>
    <xf numFmtId="0" fontId="0" fillId="8" borderId="0" xfId="0" applyFill="1" applyAlignment="1">
      <alignment horizontal="center"/>
    </xf>
    <xf numFmtId="0" fontId="4" fillId="11" borderId="5" xfId="0" applyFont="1" applyFill="1" applyBorder="1" applyAlignment="1">
      <alignment horizontal="center"/>
    </xf>
    <xf numFmtId="0" fontId="23" fillId="2" borderId="4" xfId="0" applyFont="1" applyFill="1" applyBorder="1"/>
    <xf numFmtId="9" fontId="0" fillId="2" borderId="0" xfId="2" applyFont="1" applyFill="1" applyBorder="1" applyAlignment="1">
      <alignment horizontal="center"/>
    </xf>
    <xf numFmtId="0" fontId="11" fillId="2" borderId="4" xfId="3" applyFont="1" applyFill="1" applyBorder="1" applyAlignment="1">
      <alignment horizontal="left" indent="1"/>
    </xf>
    <xf numFmtId="0" fontId="4" fillId="2" borderId="9" xfId="0" applyFont="1" applyFill="1" applyBorder="1"/>
    <xf numFmtId="5" fontId="0" fillId="2" borderId="0" xfId="1" applyNumberFormat="1" applyFont="1" applyFill="1" applyBorder="1" applyAlignment="1" applyProtection="1">
      <alignment horizontal="center"/>
    </xf>
    <xf numFmtId="0" fontId="11" fillId="2" borderId="5" xfId="3" applyFont="1" applyFill="1" applyBorder="1" applyAlignment="1">
      <alignment horizontal="center"/>
    </xf>
    <xf numFmtId="0" fontId="11" fillId="8" borderId="5" xfId="3" applyFont="1" applyFill="1" applyBorder="1" applyAlignment="1" applyProtection="1">
      <alignment horizontal="center"/>
      <protection locked="0"/>
    </xf>
    <xf numFmtId="0" fontId="11" fillId="8" borderId="4" xfId="3" applyFont="1" applyFill="1" applyBorder="1" applyAlignment="1" applyProtection="1">
      <alignment horizontal="left" indent="1"/>
      <protection locked="0"/>
    </xf>
    <xf numFmtId="5" fontId="9" fillId="2" borderId="10" xfId="1" applyNumberFormat="1" applyFont="1" applyFill="1" applyBorder="1" applyAlignment="1" applyProtection="1">
      <alignment horizontal="center"/>
    </xf>
    <xf numFmtId="0" fontId="11" fillId="2" borderId="11" xfId="3" applyFont="1" applyFill="1" applyBorder="1" applyAlignment="1">
      <alignment horizontal="center"/>
    </xf>
    <xf numFmtId="0" fontId="4" fillId="11" borderId="7" xfId="0" applyFont="1" applyFill="1" applyBorder="1" applyAlignment="1">
      <alignment horizontal="center" vertical="center"/>
    </xf>
    <xf numFmtId="0" fontId="4" fillId="11" borderId="7" xfId="0" applyFont="1" applyFill="1" applyBorder="1" applyAlignment="1">
      <alignment horizontal="center"/>
    </xf>
    <xf numFmtId="0" fontId="0" fillId="11" borderId="0" xfId="0" applyFill="1"/>
    <xf numFmtId="0" fontId="0" fillId="11" borderId="0" xfId="0" applyFill="1" applyAlignment="1">
      <alignment horizontal="center"/>
    </xf>
    <xf numFmtId="0" fontId="4" fillId="11" borderId="8" xfId="0" applyFont="1" applyFill="1" applyBorder="1" applyAlignment="1">
      <alignment horizontal="center"/>
    </xf>
    <xf numFmtId="0" fontId="4" fillId="2" borderId="4" xfId="0" applyFont="1" applyFill="1" applyBorder="1"/>
    <xf numFmtId="9" fontId="4" fillId="2" borderId="0" xfId="0" applyNumberFormat="1" applyFont="1" applyFill="1" applyAlignment="1">
      <alignment horizontal="center"/>
    </xf>
    <xf numFmtId="164" fontId="9" fillId="2" borderId="0" xfId="5" applyNumberFormat="1" applyFont="1" applyFill="1" applyBorder="1" applyAlignment="1" applyProtection="1">
      <alignment horizontal="center"/>
    </xf>
    <xf numFmtId="0" fontId="4" fillId="2" borderId="6" xfId="0" applyFont="1" applyFill="1" applyBorder="1"/>
    <xf numFmtId="9" fontId="11" fillId="2" borderId="10" xfId="0" applyNumberFormat="1" applyFont="1" applyFill="1" applyBorder="1" applyAlignment="1">
      <alignment horizontal="center"/>
    </xf>
    <xf numFmtId="0" fontId="28" fillId="2" borderId="0" xfId="0" applyFont="1" applyFill="1"/>
    <xf numFmtId="0" fontId="4" fillId="0" borderId="0" xfId="0" applyFont="1"/>
    <xf numFmtId="0" fontId="0" fillId="0" borderId="0" xfId="0" applyAlignment="1">
      <alignment horizontal="center"/>
    </xf>
    <xf numFmtId="0" fontId="4" fillId="0" borderId="15" xfId="0" applyFont="1" applyBorder="1"/>
    <xf numFmtId="0" fontId="4" fillId="0" borderId="18" xfId="0" applyFont="1" applyBorder="1"/>
    <xf numFmtId="0" fontId="4" fillId="0" borderId="19" xfId="0" applyFont="1" applyBorder="1" applyAlignment="1">
      <alignment horizontal="center" wrapText="1"/>
    </xf>
    <xf numFmtId="0" fontId="4" fillId="0" borderId="20" xfId="0" applyFont="1" applyBorder="1" applyAlignment="1">
      <alignment horizontal="center"/>
    </xf>
    <xf numFmtId="5" fontId="11" fillId="0" borderId="0" xfId="0" applyNumberFormat="1" applyFont="1" applyAlignment="1">
      <alignment horizontal="left"/>
    </xf>
    <xf numFmtId="0" fontId="11" fillId="10" borderId="0" xfId="0" applyFont="1" applyFill="1" applyAlignment="1">
      <alignment horizontal="left"/>
    </xf>
    <xf numFmtId="0" fontId="0" fillId="10" borderId="0" xfId="0" applyFill="1"/>
    <xf numFmtId="0" fontId="0" fillId="10" borderId="0" xfId="0" applyFill="1" applyAlignment="1">
      <alignment horizontal="center"/>
    </xf>
    <xf numFmtId="0" fontId="0" fillId="0" borderId="15" xfId="0" applyBorder="1"/>
    <xf numFmtId="0" fontId="0" fillId="0" borderId="16" xfId="0" applyBorder="1" applyAlignment="1">
      <alignment horizontal="center"/>
    </xf>
    <xf numFmtId="0" fontId="0" fillId="0" borderId="17" xfId="0" applyBorder="1" applyAlignment="1">
      <alignment horizontal="center"/>
    </xf>
    <xf numFmtId="0" fontId="11" fillId="0" borderId="0" xfId="0" applyFont="1" applyAlignment="1">
      <alignment horizontal="left"/>
    </xf>
    <xf numFmtId="0" fontId="0" fillId="0" borderId="21" xfId="0" applyBorder="1"/>
    <xf numFmtId="0" fontId="0" fillId="0" borderId="22" xfId="0" applyBorder="1" applyAlignment="1">
      <alignment horizontal="center"/>
    </xf>
    <xf numFmtId="0" fontId="11" fillId="11" borderId="0" xfId="0" applyFont="1" applyFill="1" applyAlignment="1">
      <alignment horizontal="left"/>
    </xf>
    <xf numFmtId="0" fontId="11" fillId="6" borderId="0" xfId="0" applyFont="1" applyFill="1" applyAlignment="1">
      <alignment horizontal="left"/>
    </xf>
    <xf numFmtId="0" fontId="0" fillId="6" borderId="0" xfId="0" applyFill="1"/>
    <xf numFmtId="0" fontId="0" fillId="6" borderId="0" xfId="0" applyFill="1" applyAlignment="1">
      <alignment horizontal="center"/>
    </xf>
    <xf numFmtId="0" fontId="0" fillId="0" borderId="18" xfId="0" applyBorder="1"/>
    <xf numFmtId="0" fontId="0" fillId="0" borderId="19" xfId="0" applyBorder="1" applyAlignment="1">
      <alignment horizontal="center"/>
    </xf>
    <xf numFmtId="0" fontId="0" fillId="0" borderId="20" xfId="0" applyBorder="1" applyAlignment="1">
      <alignment horizontal="center"/>
    </xf>
    <xf numFmtId="0" fontId="11" fillId="12" borderId="0" xfId="0" applyFont="1" applyFill="1" applyAlignment="1">
      <alignment horizontal="left"/>
    </xf>
    <xf numFmtId="0" fontId="0" fillId="12" borderId="0" xfId="0" applyFill="1"/>
    <xf numFmtId="0" fontId="0" fillId="12" borderId="0" xfId="0" applyFill="1" applyAlignment="1">
      <alignment horizontal="center"/>
    </xf>
    <xf numFmtId="0" fontId="11" fillId="8" borderId="0" xfId="0" applyFont="1" applyFill="1" applyAlignment="1">
      <alignment horizontal="left"/>
    </xf>
    <xf numFmtId="0" fontId="0" fillId="8" borderId="0" xfId="0" applyFill="1"/>
    <xf numFmtId="0" fontId="4" fillId="0" borderId="21" xfId="0" applyFont="1" applyBorder="1"/>
    <xf numFmtId="0" fontId="4" fillId="0" borderId="0" xfId="0" applyFont="1" applyAlignment="1">
      <alignment horizontal="center" wrapText="1"/>
    </xf>
    <xf numFmtId="0" fontId="4" fillId="0" borderId="22" xfId="0" applyFont="1" applyBorder="1" applyAlignment="1">
      <alignment horizontal="center"/>
    </xf>
    <xf numFmtId="9" fontId="4" fillId="2" borderId="0" xfId="2" applyFont="1" applyFill="1" applyBorder="1" applyAlignment="1">
      <alignment horizontal="center"/>
    </xf>
    <xf numFmtId="7" fontId="0" fillId="2" borderId="0" xfId="0" applyNumberFormat="1" applyFill="1"/>
    <xf numFmtId="5" fontId="4" fillId="2" borderId="5" xfId="0" applyNumberFormat="1" applyFont="1" applyFill="1" applyBorder="1" applyAlignment="1">
      <alignment horizontal="center"/>
    </xf>
    <xf numFmtId="0" fontId="11" fillId="2" borderId="4" xfId="0" applyFont="1" applyFill="1" applyBorder="1"/>
    <xf numFmtId="0" fontId="4" fillId="2" borderId="4" xfId="0" applyFont="1" applyFill="1" applyBorder="1" applyAlignment="1">
      <alignment horizontal="left"/>
    </xf>
    <xf numFmtId="0" fontId="4" fillId="2" borderId="5" xfId="0" applyFont="1" applyFill="1" applyBorder="1" applyAlignment="1">
      <alignment horizontal="center"/>
    </xf>
    <xf numFmtId="9" fontId="11" fillId="2" borderId="0" xfId="0" applyNumberFormat="1" applyFont="1" applyFill="1"/>
    <xf numFmtId="5" fontId="11" fillId="2" borderId="0" xfId="0" applyNumberFormat="1" applyFont="1" applyFill="1"/>
    <xf numFmtId="10" fontId="11" fillId="2" borderId="0" xfId="0" applyNumberFormat="1" applyFont="1" applyFill="1"/>
    <xf numFmtId="7" fontId="9" fillId="2" borderId="0" xfId="0" applyNumberFormat="1" applyFont="1" applyFill="1"/>
    <xf numFmtId="0" fontId="0" fillId="2" borderId="26" xfId="0" applyFill="1" applyBorder="1"/>
    <xf numFmtId="0" fontId="11" fillId="2" borderId="0" xfId="0" applyFont="1" applyFill="1" applyAlignment="1">
      <alignment horizontal="center"/>
    </xf>
    <xf numFmtId="8" fontId="0" fillId="2" borderId="0" xfId="0" applyNumberFormat="1" applyFill="1" applyAlignment="1">
      <alignment horizontal="center"/>
    </xf>
    <xf numFmtId="169" fontId="11" fillId="2" borderId="0" xfId="0" applyNumberFormat="1" applyFont="1" applyFill="1" applyAlignment="1">
      <alignment horizontal="center"/>
    </xf>
    <xf numFmtId="168" fontId="11" fillId="2" borderId="10" xfId="0" applyNumberFormat="1" applyFont="1" applyFill="1" applyBorder="1" applyAlignment="1">
      <alignment horizontal="center"/>
    </xf>
    <xf numFmtId="169" fontId="11" fillId="2" borderId="4" xfId="0" applyNumberFormat="1" applyFont="1" applyFill="1" applyBorder="1" applyAlignment="1">
      <alignment horizontal="center"/>
    </xf>
    <xf numFmtId="7" fontId="11" fillId="2" borderId="0" xfId="0" applyNumberFormat="1" applyFont="1" applyFill="1"/>
    <xf numFmtId="0" fontId="4" fillId="2" borderId="9" xfId="0" applyFont="1" applyFill="1" applyBorder="1" applyAlignment="1">
      <alignment horizontal="left"/>
    </xf>
    <xf numFmtId="0" fontId="4" fillId="2" borderId="10" xfId="0" applyFont="1" applyFill="1" applyBorder="1" applyAlignment="1">
      <alignment horizontal="left"/>
    </xf>
    <xf numFmtId="0" fontId="4" fillId="2" borderId="32" xfId="0" applyFont="1" applyFill="1" applyBorder="1" applyAlignment="1">
      <alignment horizontal="left"/>
    </xf>
    <xf numFmtId="167" fontId="9" fillId="0" borderId="11" xfId="0" applyNumberFormat="1" applyFont="1" applyBorder="1" applyAlignment="1">
      <alignment horizontal="center"/>
    </xf>
    <xf numFmtId="0" fontId="6" fillId="4" borderId="6" xfId="0" applyFont="1" applyFill="1" applyBorder="1"/>
    <xf numFmtId="0" fontId="4" fillId="4" borderId="33" xfId="0" applyFont="1" applyFill="1" applyBorder="1" applyAlignment="1">
      <alignment horizontal="center"/>
    </xf>
    <xf numFmtId="0" fontId="0" fillId="4" borderId="34" xfId="0" applyFill="1" applyBorder="1" applyAlignment="1">
      <alignment horizontal="center"/>
    </xf>
    <xf numFmtId="0" fontId="0" fillId="4" borderId="33" xfId="0" applyFill="1" applyBorder="1" applyAlignment="1">
      <alignment horizontal="center"/>
    </xf>
    <xf numFmtId="0" fontId="4" fillId="4" borderId="10" xfId="0" applyFont="1" applyFill="1" applyBorder="1" applyAlignment="1">
      <alignment horizontal="center"/>
    </xf>
    <xf numFmtId="0" fontId="4" fillId="4" borderId="35" xfId="0" applyFont="1" applyFill="1" applyBorder="1" applyAlignment="1">
      <alignment horizontal="center"/>
    </xf>
    <xf numFmtId="0" fontId="0" fillId="4" borderId="30" xfId="0" applyFill="1" applyBorder="1" applyAlignment="1">
      <alignment horizontal="center"/>
    </xf>
    <xf numFmtId="0" fontId="0" fillId="4" borderId="36" xfId="0" applyFill="1" applyBorder="1" applyAlignment="1">
      <alignment horizontal="center"/>
    </xf>
    <xf numFmtId="0" fontId="0" fillId="5" borderId="34" xfId="0" applyFill="1" applyBorder="1"/>
    <xf numFmtId="5" fontId="4" fillId="5" borderId="33" xfId="0" applyNumberFormat="1" applyFont="1" applyFill="1" applyBorder="1" applyAlignment="1">
      <alignment horizontal="center"/>
    </xf>
    <xf numFmtId="5" fontId="4" fillId="5" borderId="34" xfId="0" applyNumberFormat="1" applyFont="1" applyFill="1" applyBorder="1" applyAlignment="1">
      <alignment horizontal="center"/>
    </xf>
    <xf numFmtId="5" fontId="4" fillId="5" borderId="8" xfId="0" applyNumberFormat="1" applyFont="1" applyFill="1" applyBorder="1" applyAlignment="1">
      <alignment horizontal="center"/>
    </xf>
    <xf numFmtId="5" fontId="4" fillId="2" borderId="30" xfId="0" applyNumberFormat="1" applyFont="1" applyFill="1" applyBorder="1" applyAlignment="1">
      <alignment horizontal="center"/>
    </xf>
    <xf numFmtId="5" fontId="4" fillId="2" borderId="36" xfId="0" applyNumberFormat="1" applyFont="1" applyFill="1" applyBorder="1" applyAlignment="1">
      <alignment horizontal="center"/>
    </xf>
    <xf numFmtId="9" fontId="4" fillId="2" borderId="36" xfId="0" applyNumberFormat="1" applyFont="1" applyFill="1" applyBorder="1" applyAlignment="1">
      <alignment horizontal="center"/>
    </xf>
    <xf numFmtId="0" fontId="0" fillId="2" borderId="30" xfId="0" applyFill="1" applyBorder="1"/>
    <xf numFmtId="5" fontId="0" fillId="2" borderId="30" xfId="0" applyNumberFormat="1" applyFill="1" applyBorder="1" applyAlignment="1">
      <alignment horizontal="center"/>
    </xf>
    <xf numFmtId="5" fontId="0" fillId="2" borderId="36" xfId="0" applyNumberFormat="1" applyFill="1" applyBorder="1" applyAlignment="1">
      <alignment horizontal="center"/>
    </xf>
    <xf numFmtId="0" fontId="0" fillId="2" borderId="36" xfId="0" applyFill="1" applyBorder="1"/>
    <xf numFmtId="9" fontId="11" fillId="2" borderId="27" xfId="0" applyNumberFormat="1" applyFont="1" applyFill="1" applyBorder="1" applyAlignment="1">
      <alignment horizontal="center"/>
    </xf>
    <xf numFmtId="9" fontId="11" fillId="2" borderId="37" xfId="0" applyNumberFormat="1" applyFont="1" applyFill="1" applyBorder="1" applyAlignment="1">
      <alignment horizontal="center"/>
    </xf>
    <xf numFmtId="5" fontId="11" fillId="2" borderId="38" xfId="2" applyNumberFormat="1" applyFont="1" applyFill="1" applyBorder="1" applyAlignment="1">
      <alignment horizontal="center"/>
    </xf>
    <xf numFmtId="5" fontId="11" fillId="2" borderId="37" xfId="2" applyNumberFormat="1" applyFont="1" applyFill="1" applyBorder="1" applyAlignment="1">
      <alignment horizontal="center"/>
    </xf>
    <xf numFmtId="5" fontId="11" fillId="2" borderId="28" xfId="2" applyNumberFormat="1" applyFont="1" applyFill="1" applyBorder="1" applyAlignment="1">
      <alignment horizontal="center"/>
    </xf>
    <xf numFmtId="0" fontId="4" fillId="5" borderId="4" xfId="0" applyFont="1" applyFill="1" applyBorder="1"/>
    <xf numFmtId="0" fontId="0" fillId="5" borderId="30" xfId="0" applyFill="1" applyBorder="1" applyAlignment="1">
      <alignment horizontal="center"/>
    </xf>
    <xf numFmtId="5" fontId="4" fillId="5" borderId="36" xfId="0" applyNumberFormat="1" applyFont="1" applyFill="1" applyBorder="1" applyAlignment="1">
      <alignment horizontal="center"/>
    </xf>
    <xf numFmtId="5" fontId="4" fillId="5" borderId="30" xfId="0" applyNumberFormat="1" applyFont="1" applyFill="1" applyBorder="1" applyAlignment="1">
      <alignment horizontal="center"/>
    </xf>
    <xf numFmtId="5" fontId="4" fillId="5" borderId="5" xfId="0" applyNumberFormat="1" applyFont="1" applyFill="1" applyBorder="1" applyAlignment="1">
      <alignment horizontal="center"/>
    </xf>
    <xf numFmtId="5" fontId="11" fillId="2" borderId="30" xfId="2" applyNumberFormat="1" applyFont="1" applyFill="1" applyBorder="1" applyAlignment="1" applyProtection="1">
      <alignment horizontal="center"/>
    </xf>
    <xf numFmtId="5" fontId="11" fillId="2" borderId="36" xfId="2" applyNumberFormat="1" applyFont="1" applyFill="1" applyBorder="1" applyAlignment="1" applyProtection="1">
      <alignment horizontal="center"/>
    </xf>
    <xf numFmtId="5" fontId="11" fillId="2" borderId="30" xfId="2" applyNumberFormat="1" applyFont="1" applyFill="1" applyBorder="1" applyAlignment="1">
      <alignment horizontal="center"/>
    </xf>
    <xf numFmtId="5" fontId="11" fillId="2" borderId="36" xfId="2" applyNumberFormat="1" applyFont="1" applyFill="1" applyBorder="1" applyAlignment="1">
      <alignment horizontal="center"/>
    </xf>
    <xf numFmtId="5" fontId="11" fillId="2" borderId="5" xfId="2" applyNumberFormat="1" applyFont="1" applyFill="1" applyBorder="1" applyAlignment="1">
      <alignment horizontal="center"/>
    </xf>
    <xf numFmtId="0" fontId="11" fillId="2" borderId="26" xfId="0" applyFont="1" applyFill="1" applyBorder="1"/>
    <xf numFmtId="167" fontId="0" fillId="2" borderId="30" xfId="0" applyNumberFormat="1" applyFill="1" applyBorder="1" applyAlignment="1">
      <alignment horizontal="center"/>
    </xf>
    <xf numFmtId="9" fontId="11" fillId="2" borderId="0" xfId="0" applyNumberFormat="1" applyFont="1" applyFill="1" applyAlignment="1">
      <alignment horizontal="center"/>
    </xf>
    <xf numFmtId="9" fontId="11" fillId="2" borderId="36" xfId="0" applyNumberFormat="1" applyFont="1" applyFill="1" applyBorder="1" applyAlignment="1">
      <alignment horizontal="center"/>
    </xf>
    <xf numFmtId="6" fontId="11" fillId="2" borderId="36" xfId="0" applyNumberFormat="1" applyFont="1" applyFill="1" applyBorder="1" applyAlignment="1">
      <alignment horizontal="center"/>
    </xf>
    <xf numFmtId="6" fontId="11" fillId="2" borderId="30" xfId="0" applyNumberFormat="1" applyFont="1" applyFill="1" applyBorder="1" applyAlignment="1">
      <alignment horizontal="center"/>
    </xf>
    <xf numFmtId="6" fontId="11" fillId="2" borderId="5" xfId="0" applyNumberFormat="1" applyFont="1" applyFill="1" applyBorder="1" applyAlignment="1">
      <alignment horizontal="center"/>
    </xf>
    <xf numFmtId="0" fontId="4" fillId="5" borderId="23" xfId="0" applyFont="1" applyFill="1" applyBorder="1"/>
    <xf numFmtId="0" fontId="11" fillId="5" borderId="29" xfId="0" applyFont="1" applyFill="1" applyBorder="1"/>
    <xf numFmtId="5" fontId="4" fillId="5" borderId="29" xfId="0" applyNumberFormat="1" applyFont="1" applyFill="1" applyBorder="1" applyAlignment="1">
      <alignment horizontal="center"/>
    </xf>
    <xf numFmtId="5" fontId="4" fillId="5" borderId="31" xfId="0" applyNumberFormat="1" applyFont="1" applyFill="1" applyBorder="1" applyAlignment="1">
      <alignment horizontal="center"/>
    </xf>
    <xf numFmtId="5" fontId="4" fillId="5" borderId="39" xfId="0" applyNumberFormat="1" applyFont="1" applyFill="1" applyBorder="1" applyAlignment="1">
      <alignment horizontal="center"/>
    </xf>
    <xf numFmtId="6" fontId="11" fillId="2" borderId="30" xfId="2" applyNumberFormat="1" applyFont="1" applyFill="1" applyBorder="1" applyAlignment="1">
      <alignment horizontal="center"/>
    </xf>
    <xf numFmtId="6" fontId="11" fillId="2" borderId="36" xfId="2" applyNumberFormat="1" applyFont="1" applyFill="1" applyBorder="1" applyAlignment="1">
      <alignment horizontal="center"/>
    </xf>
    <xf numFmtId="6" fontId="11" fillId="2" borderId="5" xfId="2" applyNumberFormat="1" applyFont="1" applyFill="1" applyBorder="1" applyAlignment="1">
      <alignment horizontal="center"/>
    </xf>
    <xf numFmtId="6" fontId="11" fillId="2" borderId="38" xfId="2" applyNumberFormat="1" applyFont="1" applyFill="1" applyBorder="1" applyAlignment="1">
      <alignment horizontal="center"/>
    </xf>
    <xf numFmtId="6" fontId="11" fillId="2" borderId="37" xfId="2" applyNumberFormat="1" applyFont="1" applyFill="1" applyBorder="1" applyAlignment="1">
      <alignment horizontal="center"/>
    </xf>
    <xf numFmtId="6" fontId="11" fillId="2" borderId="28" xfId="2" applyNumberFormat="1" applyFont="1" applyFill="1" applyBorder="1" applyAlignment="1">
      <alignment horizontal="center"/>
    </xf>
    <xf numFmtId="0" fontId="11" fillId="5" borderId="30" xfId="0" applyFont="1" applyFill="1" applyBorder="1"/>
    <xf numFmtId="0" fontId="11" fillId="2" borderId="9" xfId="0" applyFont="1" applyFill="1" applyBorder="1"/>
    <xf numFmtId="9" fontId="11" fillId="2" borderId="35" xfId="0" applyNumberFormat="1" applyFont="1" applyFill="1" applyBorder="1" applyAlignment="1">
      <alignment horizontal="center"/>
    </xf>
    <xf numFmtId="9" fontId="11" fillId="2" borderId="11" xfId="2" applyFont="1" applyFill="1" applyBorder="1" applyAlignment="1">
      <alignment horizontal="center"/>
    </xf>
    <xf numFmtId="0" fontId="4" fillId="0" borderId="6" xfId="0" applyFont="1" applyBorder="1"/>
    <xf numFmtId="0" fontId="4" fillId="0" borderId="7" xfId="0" applyFont="1" applyBorder="1"/>
    <xf numFmtId="0" fontId="4" fillId="0" borderId="7" xfId="0" applyFont="1" applyBorder="1" applyAlignment="1">
      <alignment wrapText="1"/>
    </xf>
    <xf numFmtId="0" fontId="4" fillId="0" borderId="8" xfId="0" applyFont="1" applyBorder="1" applyAlignment="1">
      <alignment wrapText="1"/>
    </xf>
    <xf numFmtId="5" fontId="11" fillId="10" borderId="4" xfId="0" applyNumberFormat="1" applyFont="1" applyFill="1" applyBorder="1" applyAlignment="1">
      <alignment horizontal="left"/>
    </xf>
    <xf numFmtId="0" fontId="0" fillId="10" borderId="5" xfId="0" applyFill="1" applyBorder="1" applyAlignment="1">
      <alignment horizontal="center"/>
    </xf>
    <xf numFmtId="0" fontId="11" fillId="10" borderId="4" xfId="0" applyFont="1" applyFill="1" applyBorder="1" applyAlignment="1">
      <alignment horizontal="left"/>
    </xf>
    <xf numFmtId="5" fontId="11" fillId="11" borderId="4" xfId="0" applyNumberFormat="1" applyFont="1" applyFill="1" applyBorder="1" applyAlignment="1">
      <alignment horizontal="left"/>
    </xf>
    <xf numFmtId="0" fontId="0" fillId="11" borderId="5" xfId="0" applyFill="1" applyBorder="1" applyAlignment="1">
      <alignment horizontal="center"/>
    </xf>
    <xf numFmtId="0" fontId="11" fillId="11" borderId="4" xfId="0" applyFont="1" applyFill="1" applyBorder="1" applyAlignment="1">
      <alignment horizontal="left"/>
    </xf>
    <xf numFmtId="0" fontId="11" fillId="6" borderId="4" xfId="0" applyFont="1" applyFill="1" applyBorder="1" applyAlignment="1">
      <alignment horizontal="left"/>
    </xf>
    <xf numFmtId="0" fontId="0" fillId="6" borderId="5" xfId="0" applyFill="1" applyBorder="1" applyAlignment="1">
      <alignment horizontal="center"/>
    </xf>
    <xf numFmtId="0" fontId="11" fillId="12" borderId="4" xfId="0" applyFont="1" applyFill="1" applyBorder="1" applyAlignment="1">
      <alignment horizontal="left"/>
    </xf>
    <xf numFmtId="0" fontId="0" fillId="12" borderId="5" xfId="0" applyFill="1" applyBorder="1" applyAlignment="1">
      <alignment horizontal="center"/>
    </xf>
    <xf numFmtId="0" fontId="11" fillId="8" borderId="4" xfId="0" applyFont="1" applyFill="1" applyBorder="1" applyAlignment="1">
      <alignment horizontal="left"/>
    </xf>
    <xf numFmtId="0" fontId="0" fillId="8" borderId="5" xfId="0" applyFill="1" applyBorder="1" applyAlignment="1">
      <alignment horizontal="center"/>
    </xf>
    <xf numFmtId="0" fontId="11" fillId="6" borderId="9" xfId="0" applyFont="1" applyFill="1" applyBorder="1" applyAlignment="1">
      <alignment horizontal="left"/>
    </xf>
    <xf numFmtId="0" fontId="11" fillId="6" borderId="10" xfId="0" applyFont="1" applyFill="1" applyBorder="1" applyAlignment="1">
      <alignment horizontal="left"/>
    </xf>
    <xf numFmtId="0" fontId="0" fillId="6" borderId="10" xfId="0" applyFill="1" applyBorder="1"/>
    <xf numFmtId="0" fontId="0" fillId="6" borderId="10" xfId="0" applyFill="1" applyBorder="1" applyAlignment="1">
      <alignment horizontal="center"/>
    </xf>
    <xf numFmtId="0" fontId="0" fillId="6" borderId="11" xfId="0" applyFill="1" applyBorder="1" applyAlignment="1">
      <alignment horizontal="center"/>
    </xf>
    <xf numFmtId="5" fontId="0" fillId="8" borderId="5" xfId="0" applyNumberFormat="1" applyFill="1" applyBorder="1" applyAlignment="1" applyProtection="1">
      <alignment horizontal="center"/>
      <protection locked="0"/>
    </xf>
    <xf numFmtId="0" fontId="4" fillId="11" borderId="6" xfId="0" applyFont="1" applyFill="1" applyBorder="1"/>
    <xf numFmtId="0" fontId="4" fillId="11" borderId="7" xfId="0" applyFont="1" applyFill="1" applyBorder="1"/>
    <xf numFmtId="0" fontId="4" fillId="11" borderId="7" xfId="1" applyNumberFormat="1" applyFont="1" applyFill="1" applyBorder="1" applyProtection="1"/>
    <xf numFmtId="165" fontId="13" fillId="11" borderId="8" xfId="1" applyNumberFormat="1" applyFont="1" applyFill="1" applyBorder="1" applyAlignment="1" applyProtection="1">
      <alignment horizontal="center"/>
      <protection locked="0"/>
    </xf>
    <xf numFmtId="0" fontId="0" fillId="2" borderId="0" xfId="0" applyFill="1" applyBorder="1"/>
    <xf numFmtId="5" fontId="0" fillId="8" borderId="0" xfId="0" applyNumberFormat="1" applyFill="1" applyBorder="1" applyAlignment="1" applyProtection="1">
      <alignment horizontal="center"/>
      <protection locked="0"/>
    </xf>
    <xf numFmtId="5" fontId="0" fillId="2" borderId="0" xfId="0" applyNumberFormat="1" applyFill="1" applyBorder="1" applyAlignment="1">
      <alignment horizontal="center"/>
    </xf>
    <xf numFmtId="0" fontId="9" fillId="5" borderId="1" xfId="3" applyFont="1" applyFill="1" applyBorder="1" applyAlignment="1">
      <alignment horizontal="left" indent="1"/>
    </xf>
    <xf numFmtId="0" fontId="9" fillId="5" borderId="2" xfId="3" applyFont="1" applyFill="1" applyBorder="1" applyAlignment="1">
      <alignment horizontal="center"/>
    </xf>
    <xf numFmtId="0" fontId="9" fillId="5" borderId="3" xfId="3" applyFont="1" applyFill="1" applyBorder="1" applyAlignment="1">
      <alignment horizontal="center"/>
    </xf>
    <xf numFmtId="9" fontId="0" fillId="8" borderId="4" xfId="2" applyNumberFormat="1" applyFont="1" applyFill="1" applyBorder="1" applyAlignment="1" applyProtection="1">
      <alignment horizontal="center"/>
      <protection locked="0"/>
    </xf>
    <xf numFmtId="0" fontId="4" fillId="11" borderId="0" xfId="0" applyFont="1" applyFill="1" applyBorder="1" applyAlignment="1">
      <alignment horizontal="center" vertical="center"/>
    </xf>
    <xf numFmtId="0" fontId="4" fillId="11" borderId="0" xfId="0" applyFont="1" applyFill="1" applyBorder="1" applyAlignment="1">
      <alignment horizontal="center"/>
    </xf>
    <xf numFmtId="0" fontId="5" fillId="2" borderId="0" xfId="0" applyFont="1" applyFill="1" applyBorder="1"/>
    <xf numFmtId="0" fontId="4" fillId="2" borderId="0" xfId="0" applyFont="1" applyFill="1" applyBorder="1"/>
    <xf numFmtId="5" fontId="0" fillId="2" borderId="5" xfId="0" applyNumberFormat="1" applyFill="1" applyBorder="1" applyAlignment="1" applyProtection="1">
      <alignment horizontal="center"/>
    </xf>
    <xf numFmtId="0" fontId="4" fillId="4" borderId="7" xfId="0" applyFont="1" applyFill="1" applyBorder="1" applyAlignment="1">
      <alignment horizontal="center"/>
    </xf>
    <xf numFmtId="0" fontId="32" fillId="2" borderId="0" xfId="0" applyFont="1" applyFill="1"/>
    <xf numFmtId="0" fontId="4" fillId="2" borderId="7" xfId="0" applyFont="1" applyFill="1" applyBorder="1"/>
    <xf numFmtId="0" fontId="4" fillId="2" borderId="8" xfId="0" applyFont="1" applyFill="1" applyBorder="1"/>
    <xf numFmtId="6" fontId="4" fillId="2" borderId="5" xfId="0" applyNumberFormat="1" applyFont="1" applyFill="1" applyBorder="1" applyAlignment="1">
      <alignment horizontal="center"/>
    </xf>
    <xf numFmtId="0" fontId="33" fillId="2" borderId="0" xfId="0" applyFont="1" applyFill="1"/>
    <xf numFmtId="0" fontId="33" fillId="2" borderId="0" xfId="0" applyFont="1" applyFill="1" applyAlignment="1">
      <alignment horizontal="left"/>
    </xf>
    <xf numFmtId="0" fontId="34" fillId="2" borderId="0" xfId="0" applyFont="1" applyFill="1"/>
    <xf numFmtId="0" fontId="23" fillId="2" borderId="0" xfId="0" applyFont="1" applyFill="1"/>
    <xf numFmtId="6" fontId="4" fillId="2" borderId="11" xfId="0" applyNumberFormat="1" applyFont="1" applyFill="1" applyBorder="1" applyAlignment="1">
      <alignment horizontal="center"/>
    </xf>
    <xf numFmtId="0" fontId="10" fillId="2" borderId="0" xfId="0" applyFont="1" applyFill="1" applyAlignment="1">
      <alignment horizontal="left"/>
    </xf>
    <xf numFmtId="0" fontId="0" fillId="0" borderId="8" xfId="0" applyBorder="1"/>
    <xf numFmtId="0" fontId="14" fillId="2" borderId="0" xfId="0" applyFont="1" applyFill="1" applyAlignment="1">
      <alignment horizontal="left"/>
    </xf>
    <xf numFmtId="0" fontId="0" fillId="2" borderId="0" xfId="0" applyFill="1" applyAlignment="1">
      <alignment horizontal="left" indent="2"/>
    </xf>
    <xf numFmtId="0" fontId="0" fillId="2" borderId="0" xfId="0" applyFill="1" applyAlignment="1">
      <alignment horizontal="center"/>
    </xf>
    <xf numFmtId="0" fontId="36" fillId="2" borderId="0" xfId="0" applyFont="1" applyFill="1" applyAlignment="1">
      <alignment horizontal="left"/>
    </xf>
    <xf numFmtId="170" fontId="0" fillId="2" borderId="0" xfId="0" applyNumberFormat="1" applyFill="1"/>
    <xf numFmtId="165" fontId="0" fillId="2" borderId="0" xfId="1" applyNumberFormat="1" applyFont="1" applyFill="1"/>
    <xf numFmtId="43" fontId="0" fillId="2" borderId="0" xfId="0" applyNumberFormat="1" applyFill="1"/>
    <xf numFmtId="9" fontId="0" fillId="2" borderId="0" xfId="2" applyFont="1" applyFill="1"/>
    <xf numFmtId="165" fontId="24" fillId="2" borderId="0" xfId="1" applyNumberFormat="1" applyFont="1" applyFill="1"/>
    <xf numFmtId="5" fontId="3" fillId="2" borderId="0" xfId="0" applyNumberFormat="1" applyFont="1" applyFill="1"/>
    <xf numFmtId="165" fontId="4" fillId="2" borderId="0" xfId="1" applyNumberFormat="1" applyFont="1" applyFill="1"/>
    <xf numFmtId="165" fontId="0" fillId="2" borderId="0" xfId="0" applyNumberFormat="1" applyFill="1"/>
    <xf numFmtId="6" fontId="0" fillId="2" borderId="7" xfId="0" applyNumberFormat="1" applyFill="1" applyBorder="1" applyAlignment="1">
      <alignment horizontal="center"/>
    </xf>
    <xf numFmtId="165" fontId="21" fillId="2" borderId="0" xfId="1" applyNumberFormat="1" applyFont="1" applyFill="1"/>
    <xf numFmtId="6" fontId="11" fillId="2" borderId="0" xfId="0" applyNumberFormat="1" applyFont="1" applyFill="1" applyAlignment="1">
      <alignment horizontal="center"/>
    </xf>
    <xf numFmtId="43" fontId="0" fillId="2" borderId="0" xfId="1" applyFont="1" applyFill="1"/>
    <xf numFmtId="0" fontId="4" fillId="5" borderId="9" xfId="0" applyFont="1" applyFill="1" applyBorder="1"/>
    <xf numFmtId="9" fontId="9" fillId="5" borderId="40" xfId="2" applyFont="1" applyFill="1" applyBorder="1" applyAlignment="1">
      <alignment horizontal="center"/>
    </xf>
    <xf numFmtId="6" fontId="4" fillId="5" borderId="11" xfId="0" applyNumberFormat="1" applyFont="1" applyFill="1" applyBorder="1" applyAlignment="1">
      <alignment horizontal="center"/>
    </xf>
    <xf numFmtId="6" fontId="0" fillId="2" borderId="0" xfId="0" applyNumberFormat="1" applyFill="1"/>
    <xf numFmtId="0" fontId="30" fillId="2" borderId="0" xfId="0" applyFont="1" applyFill="1"/>
    <xf numFmtId="0" fontId="4" fillId="2" borderId="0" xfId="0" applyFont="1" applyFill="1" applyBorder="1" applyAlignment="1">
      <alignment horizontal="left"/>
    </xf>
    <xf numFmtId="0" fontId="7" fillId="2" borderId="0" xfId="0" applyFont="1" applyFill="1" applyBorder="1"/>
    <xf numFmtId="5" fontId="4" fillId="2" borderId="0" xfId="0" applyNumberFormat="1" applyFont="1" applyFill="1" applyBorder="1" applyAlignment="1">
      <alignment horizontal="center"/>
    </xf>
    <xf numFmtId="0" fontId="4" fillId="2" borderId="10" xfId="0" applyFont="1" applyFill="1" applyBorder="1"/>
    <xf numFmtId="0" fontId="26" fillId="0" borderId="0" xfId="0" applyFont="1" applyAlignment="1">
      <alignment horizontal="left"/>
    </xf>
    <xf numFmtId="0" fontId="4" fillId="5" borderId="4" xfId="0" applyFont="1" applyFill="1" applyBorder="1" applyAlignment="1">
      <alignment horizontal="center" vertical="top"/>
    </xf>
    <xf numFmtId="0" fontId="4" fillId="5" borderId="5" xfId="0" applyFont="1" applyFill="1" applyBorder="1" applyAlignment="1">
      <alignment horizontal="center" vertical="top"/>
    </xf>
    <xf numFmtId="0" fontId="4" fillId="2" borderId="0" xfId="0" applyFont="1" applyFill="1" applyBorder="1" applyAlignment="1">
      <alignment horizontal="center"/>
    </xf>
    <xf numFmtId="0" fontId="0" fillId="2" borderId="0" xfId="0" applyFont="1" applyFill="1"/>
    <xf numFmtId="0" fontId="0" fillId="2" borderId="4" xfId="3" applyFont="1" applyFill="1" applyBorder="1" applyAlignment="1">
      <alignment horizontal="left" indent="6"/>
    </xf>
    <xf numFmtId="1" fontId="0" fillId="8" borderId="0" xfId="3" applyNumberFormat="1" applyFont="1" applyFill="1" applyAlignment="1" applyProtection="1">
      <alignment horizontal="center"/>
      <protection locked="0"/>
    </xf>
    <xf numFmtId="0" fontId="0" fillId="0" borderId="0" xfId="0" applyFont="1"/>
    <xf numFmtId="5" fontId="0" fillId="9" borderId="5" xfId="0" applyNumberFormat="1" applyFont="1" applyFill="1" applyBorder="1" applyAlignment="1">
      <alignment horizontal="center"/>
    </xf>
    <xf numFmtId="164" fontId="0" fillId="9" borderId="5" xfId="2" applyNumberFormat="1" applyFont="1" applyFill="1" applyBorder="1" applyAlignment="1">
      <alignment horizontal="center"/>
    </xf>
    <xf numFmtId="5" fontId="0" fillId="2" borderId="10" xfId="0" applyNumberFormat="1" applyFont="1" applyFill="1" applyBorder="1" applyAlignment="1">
      <alignment horizontal="center"/>
    </xf>
    <xf numFmtId="9" fontId="0" fillId="9" borderId="11" xfId="2" applyFont="1" applyFill="1" applyBorder="1" applyAlignment="1">
      <alignment horizontal="center"/>
    </xf>
    <xf numFmtId="2" fontId="9" fillId="2" borderId="0" xfId="0" applyNumberFormat="1" applyFont="1" applyFill="1" applyBorder="1" applyAlignment="1">
      <alignment horizontal="center"/>
    </xf>
    <xf numFmtId="0" fontId="30" fillId="2" borderId="0" xfId="0" applyFont="1" applyFill="1" applyBorder="1" applyAlignment="1">
      <alignment horizontal="center"/>
    </xf>
    <xf numFmtId="5" fontId="6" fillId="2" borderId="0" xfId="0" applyNumberFormat="1" applyFont="1" applyFill="1" applyBorder="1" applyAlignment="1">
      <alignment horizontal="center"/>
    </xf>
    <xf numFmtId="168" fontId="11" fillId="2" borderId="0" xfId="0" applyNumberFormat="1" applyFont="1" applyFill="1" applyBorder="1" applyAlignment="1">
      <alignment horizontal="center"/>
    </xf>
    <xf numFmtId="9" fontId="4" fillId="2" borderId="0" xfId="0" applyNumberFormat="1" applyFont="1" applyFill="1" applyBorder="1" applyAlignment="1">
      <alignment horizontal="center"/>
    </xf>
    <xf numFmtId="0" fontId="0" fillId="2" borderId="0" xfId="0" applyFill="1" applyBorder="1" applyAlignment="1">
      <alignment horizontal="left" indent="2"/>
    </xf>
    <xf numFmtId="0" fontId="11" fillId="2" borderId="0" xfId="0" applyFont="1" applyFill="1" applyBorder="1"/>
    <xf numFmtId="0" fontId="11" fillId="2" borderId="6" xfId="0" applyFont="1" applyFill="1" applyBorder="1"/>
    <xf numFmtId="0" fontId="11" fillId="2" borderId="7" xfId="0" applyFont="1" applyFill="1" applyBorder="1"/>
    <xf numFmtId="0" fontId="11" fillId="2" borderId="8" xfId="0" applyFont="1" applyFill="1" applyBorder="1"/>
    <xf numFmtId="9" fontId="11" fillId="2" borderId="0" xfId="2" applyFont="1" applyFill="1" applyBorder="1" applyAlignment="1">
      <alignment horizontal="center"/>
    </xf>
    <xf numFmtId="0" fontId="11" fillId="2" borderId="5" xfId="0" applyFont="1" applyFill="1" applyBorder="1"/>
    <xf numFmtId="10" fontId="11" fillId="8" borderId="0" xfId="0" applyNumberFormat="1" applyFont="1" applyFill="1" applyBorder="1" applyAlignment="1" applyProtection="1">
      <alignment horizontal="center"/>
      <protection locked="0"/>
    </xf>
    <xf numFmtId="0" fontId="11" fillId="8" borderId="27" xfId="0" applyFont="1" applyFill="1" applyBorder="1" applyAlignment="1" applyProtection="1">
      <alignment horizontal="center"/>
      <protection locked="0"/>
    </xf>
    <xf numFmtId="0" fontId="11" fillId="2" borderId="27" xfId="0" applyFont="1" applyFill="1" applyBorder="1"/>
    <xf numFmtId="0" fontId="11" fillId="2" borderId="28" xfId="0" applyFont="1" applyFill="1" applyBorder="1"/>
    <xf numFmtId="0" fontId="11" fillId="0" borderId="4" xfId="0" applyFont="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4" xfId="0" applyFont="1" applyFill="1" applyBorder="1" applyAlignment="1">
      <alignment horizontal="center"/>
    </xf>
    <xf numFmtId="8" fontId="11" fillId="2" borderId="0" xfId="0" applyNumberFormat="1" applyFont="1" applyFill="1" applyBorder="1" applyAlignment="1">
      <alignment horizontal="center"/>
    </xf>
    <xf numFmtId="7" fontId="11" fillId="2" borderId="5" xfId="0" applyNumberFormat="1" applyFont="1" applyFill="1" applyBorder="1" applyAlignment="1">
      <alignment horizontal="center"/>
    </xf>
    <xf numFmtId="0" fontId="11" fillId="2" borderId="9" xfId="0" applyFont="1" applyFill="1" applyBorder="1" applyAlignment="1">
      <alignment horizontal="center"/>
    </xf>
    <xf numFmtId="8" fontId="11" fillId="2" borderId="10" xfId="0" applyNumberFormat="1" applyFont="1" applyFill="1" applyBorder="1" applyAlignment="1">
      <alignment horizontal="center"/>
    </xf>
    <xf numFmtId="7" fontId="11" fillId="2" borderId="11" xfId="0" applyNumberFormat="1" applyFont="1" applyFill="1" applyBorder="1" applyAlignment="1">
      <alignment horizontal="center"/>
    </xf>
    <xf numFmtId="0" fontId="0" fillId="2" borderId="4" xfId="0" applyFont="1" applyFill="1" applyBorder="1"/>
    <xf numFmtId="0" fontId="0" fillId="2" borderId="0" xfId="0" applyFont="1" applyFill="1" applyBorder="1"/>
    <xf numFmtId="0" fontId="0" fillId="2" borderId="0" xfId="0" applyFont="1" applyFill="1" applyBorder="1" applyAlignment="1">
      <alignment horizontal="left" indent="2"/>
    </xf>
    <xf numFmtId="0" fontId="32" fillId="2" borderId="0" xfId="0" applyFont="1" applyFill="1" applyBorder="1"/>
    <xf numFmtId="2" fontId="11" fillId="2" borderId="0" xfId="0" applyNumberFormat="1" applyFont="1" applyFill="1" applyBorder="1" applyAlignment="1">
      <alignment horizontal="center"/>
    </xf>
    <xf numFmtId="5" fontId="0" fillId="2" borderId="0" xfId="0" applyNumberFormat="1" applyFont="1" applyFill="1" applyBorder="1" applyAlignment="1">
      <alignment horizontal="center"/>
    </xf>
    <xf numFmtId="0" fontId="4" fillId="2" borderId="6" xfId="0" applyFont="1" applyFill="1" applyBorder="1" applyAlignment="1">
      <alignment horizontal="left"/>
    </xf>
    <xf numFmtId="5" fontId="0" fillId="8" borderId="0" xfId="0" applyNumberFormat="1" applyFont="1" applyFill="1" applyBorder="1" applyAlignment="1" applyProtection="1">
      <alignment horizontal="center"/>
      <protection locked="0"/>
    </xf>
    <xf numFmtId="0" fontId="3" fillId="2" borderId="0" xfId="0" applyFont="1" applyFill="1" applyBorder="1"/>
    <xf numFmtId="7" fontId="3" fillId="2" borderId="0" xfId="0" applyNumberFormat="1" applyFont="1" applyFill="1"/>
    <xf numFmtId="0" fontId="8" fillId="2" borderId="0" xfId="0" applyFont="1" applyFill="1" applyBorder="1"/>
    <xf numFmtId="5" fontId="0" fillId="2" borderId="30" xfId="0" applyNumberFormat="1" applyFont="1" applyFill="1" applyBorder="1" applyAlignment="1">
      <alignment horizontal="center"/>
    </xf>
    <xf numFmtId="5" fontId="0" fillId="2" borderId="36" xfId="0" applyNumberFormat="1" applyFont="1" applyFill="1" applyBorder="1" applyAlignment="1">
      <alignment horizontal="center"/>
    </xf>
    <xf numFmtId="5" fontId="0" fillId="2" borderId="5" xfId="0" applyNumberFormat="1" applyFont="1" applyFill="1" applyBorder="1" applyAlignment="1">
      <alignment horizontal="center"/>
    </xf>
    <xf numFmtId="9" fontId="11" fillId="2" borderId="7" xfId="0" applyNumberFormat="1" applyFont="1" applyFill="1" applyBorder="1" applyAlignment="1">
      <alignment horizontal="center"/>
    </xf>
    <xf numFmtId="9" fontId="11" fillId="2" borderId="33" xfId="0" applyNumberFormat="1" applyFont="1" applyFill="1" applyBorder="1" applyAlignment="1">
      <alignment horizontal="center"/>
    </xf>
    <xf numFmtId="9" fontId="11" fillId="2" borderId="34" xfId="2" applyFont="1" applyFill="1" applyBorder="1" applyAlignment="1">
      <alignment horizontal="center"/>
    </xf>
    <xf numFmtId="0" fontId="32" fillId="2" borderId="6" xfId="0" applyFont="1" applyFill="1" applyBorder="1"/>
    <xf numFmtId="0" fontId="0" fillId="0" borderId="0" xfId="0" applyBorder="1"/>
    <xf numFmtId="0" fontId="0" fillId="2" borderId="4" xfId="0" applyFill="1" applyBorder="1" applyAlignment="1">
      <alignment horizontal="left" indent="2"/>
    </xf>
    <xf numFmtId="0" fontId="0" fillId="2" borderId="9" xfId="0" applyFill="1" applyBorder="1" applyAlignment="1">
      <alignment horizontal="left" indent="2"/>
    </xf>
    <xf numFmtId="0" fontId="0" fillId="2" borderId="4" xfId="0" applyFill="1" applyBorder="1" applyAlignment="1">
      <alignment horizontal="left" indent="1"/>
    </xf>
    <xf numFmtId="0" fontId="33" fillId="2" borderId="0" xfId="0" applyFont="1" applyFill="1" applyBorder="1"/>
    <xf numFmtId="0" fontId="11" fillId="2" borderId="9" xfId="0" applyFont="1" applyFill="1" applyBorder="1" applyAlignment="1">
      <alignment horizontal="left" indent="1"/>
    </xf>
    <xf numFmtId="0" fontId="33" fillId="2" borderId="10" xfId="0" applyFont="1" applyFill="1" applyBorder="1"/>
    <xf numFmtId="0" fontId="11" fillId="2" borderId="4" xfId="0" applyFont="1" applyFill="1" applyBorder="1" applyAlignment="1">
      <alignment horizontal="left" indent="2"/>
    </xf>
    <xf numFmtId="0" fontId="36" fillId="2" borderId="4" xfId="0" applyFont="1" applyFill="1" applyBorder="1" applyAlignment="1">
      <alignment horizontal="left" indent="1"/>
    </xf>
    <xf numFmtId="0" fontId="32" fillId="2" borderId="0" xfId="0" applyFont="1" applyFill="1" applyBorder="1" applyAlignment="1">
      <alignment horizontal="left" vertical="center"/>
    </xf>
    <xf numFmtId="9" fontId="0" fillId="8" borderId="9" xfId="2" applyNumberFormat="1" applyFont="1" applyFill="1" applyBorder="1" applyAlignment="1" applyProtection="1">
      <alignment horizontal="center"/>
      <protection locked="0"/>
    </xf>
    <xf numFmtId="0" fontId="0" fillId="2" borderId="0" xfId="0" applyFont="1" applyFill="1" applyAlignment="1">
      <alignment horizontal="center" vertical="center"/>
    </xf>
    <xf numFmtId="0" fontId="0" fillId="2" borderId="0" xfId="0" applyFont="1" applyFill="1" applyAlignment="1">
      <alignment wrapText="1"/>
    </xf>
    <xf numFmtId="166" fontId="0" fillId="2" borderId="0" xfId="0" applyNumberFormat="1" applyFont="1" applyFill="1" applyAlignment="1">
      <alignment horizontal="center"/>
    </xf>
    <xf numFmtId="5" fontId="0" fillId="2" borderId="0" xfId="0" applyNumberFormat="1" applyFont="1" applyFill="1"/>
    <xf numFmtId="0" fontId="0" fillId="2" borderId="41" xfId="0" applyFont="1" applyFill="1" applyBorder="1"/>
    <xf numFmtId="5" fontId="0" fillId="2" borderId="42" xfId="0" applyNumberFormat="1" applyFont="1" applyFill="1" applyBorder="1" applyAlignment="1">
      <alignment horizontal="center"/>
    </xf>
    <xf numFmtId="0" fontId="0" fillId="2" borderId="42" xfId="0" applyFont="1" applyFill="1" applyBorder="1" applyAlignment="1">
      <alignment horizontal="center"/>
    </xf>
    <xf numFmtId="0" fontId="0" fillId="2" borderId="5" xfId="0" applyFont="1" applyFill="1" applyBorder="1" applyAlignment="1">
      <alignment horizontal="center"/>
    </xf>
    <xf numFmtId="0" fontId="0" fillId="8" borderId="5" xfId="0" applyFont="1" applyFill="1" applyBorder="1" applyAlignment="1" applyProtection="1">
      <alignment horizontal="center"/>
      <protection locked="0"/>
    </xf>
    <xf numFmtId="0" fontId="0" fillId="2" borderId="9" xfId="0" applyFont="1" applyFill="1" applyBorder="1"/>
    <xf numFmtId="0" fontId="0" fillId="8" borderId="10" xfId="0" applyFont="1" applyFill="1" applyBorder="1" applyAlignment="1" applyProtection="1">
      <alignment horizontal="center"/>
      <protection locked="0"/>
    </xf>
    <xf numFmtId="0" fontId="0" fillId="8" borderId="11" xfId="0" applyFont="1" applyFill="1" applyBorder="1" applyAlignment="1" applyProtection="1">
      <alignment horizontal="center"/>
      <protection locked="0"/>
    </xf>
    <xf numFmtId="0" fontId="0" fillId="5" borderId="4" xfId="0" applyFont="1" applyFill="1" applyBorder="1" applyAlignment="1">
      <alignment horizontal="center"/>
    </xf>
    <xf numFmtId="0" fontId="0" fillId="5" borderId="5" xfId="0" applyFont="1" applyFill="1" applyBorder="1" applyAlignment="1">
      <alignment horizontal="center"/>
    </xf>
    <xf numFmtId="0" fontId="0" fillId="5" borderId="0" xfId="0" applyFont="1" applyFill="1" applyBorder="1" applyAlignment="1">
      <alignment horizontal="center"/>
    </xf>
    <xf numFmtId="0" fontId="0" fillId="2" borderId="6" xfId="0" applyFont="1" applyFill="1" applyBorder="1" applyAlignment="1">
      <alignment horizontal="center"/>
    </xf>
    <xf numFmtId="0" fontId="0" fillId="2" borderId="8" xfId="0" applyFont="1" applyFill="1" applyBorder="1" applyAlignment="1">
      <alignment horizontal="center"/>
    </xf>
    <xf numFmtId="5" fontId="0" fillId="2" borderId="6" xfId="0" applyNumberFormat="1" applyFont="1" applyFill="1" applyBorder="1" applyAlignment="1">
      <alignment horizontal="center"/>
    </xf>
    <xf numFmtId="0" fontId="0" fillId="8" borderId="6" xfId="0" applyFont="1" applyFill="1" applyBorder="1" applyAlignment="1" applyProtection="1">
      <alignment horizontal="center"/>
      <protection locked="0"/>
    </xf>
    <xf numFmtId="0" fontId="0" fillId="8" borderId="7" xfId="0" applyFont="1" applyFill="1" applyBorder="1" applyAlignment="1" applyProtection="1">
      <alignment horizontal="center"/>
      <protection locked="0"/>
    </xf>
    <xf numFmtId="0" fontId="0" fillId="8" borderId="8" xfId="0" applyFont="1" applyFill="1" applyBorder="1" applyAlignment="1" applyProtection="1">
      <alignment horizontal="center"/>
      <protection locked="0"/>
    </xf>
    <xf numFmtId="0" fontId="0" fillId="2" borderId="4" xfId="0" applyFont="1" applyFill="1" applyBorder="1" applyAlignment="1">
      <alignment horizontal="center"/>
    </xf>
    <xf numFmtId="5" fontId="0" fillId="2" borderId="4" xfId="0" applyNumberFormat="1" applyFont="1" applyFill="1" applyBorder="1" applyAlignment="1">
      <alignment horizontal="center"/>
    </xf>
    <xf numFmtId="0" fontId="0" fillId="8" borderId="4" xfId="0" applyFont="1" applyFill="1" applyBorder="1" applyAlignment="1" applyProtection="1">
      <alignment horizontal="center"/>
      <protection locked="0"/>
    </xf>
    <xf numFmtId="0" fontId="0" fillId="8" borderId="0" xfId="0" applyFont="1" applyFill="1" applyBorder="1" applyAlignment="1" applyProtection="1">
      <alignment horizontal="center"/>
      <protection locked="0"/>
    </xf>
    <xf numFmtId="0" fontId="0" fillId="2" borderId="9" xfId="0" applyFont="1" applyFill="1" applyBorder="1" applyAlignment="1">
      <alignment horizontal="center"/>
    </xf>
    <xf numFmtId="0" fontId="0" fillId="2" borderId="11" xfId="0" applyFont="1" applyFill="1" applyBorder="1" applyAlignment="1">
      <alignment horizontal="center"/>
    </xf>
    <xf numFmtId="5" fontId="0" fillId="2" borderId="9" xfId="0" applyNumberFormat="1" applyFont="1" applyFill="1" applyBorder="1" applyAlignment="1">
      <alignment horizontal="center"/>
    </xf>
    <xf numFmtId="5" fontId="0" fillId="2" borderId="11" xfId="0" applyNumberFormat="1" applyFont="1" applyFill="1" applyBorder="1" applyAlignment="1">
      <alignment horizontal="center"/>
    </xf>
    <xf numFmtId="0" fontId="0" fillId="8" borderId="9" xfId="0" applyFont="1" applyFill="1" applyBorder="1" applyAlignment="1" applyProtection="1">
      <alignment horizontal="center"/>
      <protection locked="0"/>
    </xf>
    <xf numFmtId="5" fontId="0" fillId="2" borderId="0" xfId="0" applyNumberFormat="1" applyFont="1" applyFill="1" applyAlignment="1">
      <alignment horizontal="center"/>
    </xf>
    <xf numFmtId="0" fontId="0" fillId="5" borderId="6" xfId="0" applyFont="1" applyFill="1" applyBorder="1"/>
    <xf numFmtId="0" fontId="0" fillId="2" borderId="5" xfId="0" applyFont="1" applyFill="1" applyBorder="1"/>
    <xf numFmtId="0" fontId="0" fillId="0" borderId="5" xfId="0" applyFont="1" applyBorder="1"/>
    <xf numFmtId="0" fontId="0" fillId="5" borderId="12" xfId="0" applyFont="1" applyFill="1" applyBorder="1" applyAlignment="1">
      <alignment horizontal="center"/>
    </xf>
    <xf numFmtId="5" fontId="0" fillId="2" borderId="13" xfId="0" applyNumberFormat="1" applyFont="1" applyFill="1" applyBorder="1" applyAlignment="1">
      <alignment horizontal="center"/>
    </xf>
    <xf numFmtId="0" fontId="0" fillId="11" borderId="4" xfId="0" applyFont="1" applyFill="1" applyBorder="1" applyAlignment="1">
      <alignment horizontal="left" vertical="center"/>
    </xf>
    <xf numFmtId="0" fontId="0" fillId="2" borderId="0" xfId="0" applyFont="1" applyFill="1" applyBorder="1" applyAlignment="1">
      <alignment horizontal="left"/>
    </xf>
    <xf numFmtId="0" fontId="0" fillId="2" borderId="0" xfId="0" applyFont="1" applyFill="1" applyBorder="1" applyAlignment="1">
      <alignment horizontal="center"/>
    </xf>
    <xf numFmtId="167" fontId="0" fillId="2" borderId="0" xfId="0" applyNumberFormat="1" applyFont="1" applyFill="1" applyBorder="1" applyAlignment="1">
      <alignment horizontal="center"/>
    </xf>
    <xf numFmtId="167" fontId="0" fillId="2" borderId="5" xfId="0" applyNumberFormat="1" applyFont="1" applyFill="1" applyBorder="1" applyAlignment="1">
      <alignment horizontal="center"/>
    </xf>
    <xf numFmtId="0" fontId="0" fillId="2" borderId="4" xfId="0" applyFont="1" applyFill="1" applyBorder="1" applyAlignment="1">
      <alignment horizontal="left"/>
    </xf>
    <xf numFmtId="167" fontId="0" fillId="2" borderId="10" xfId="0" applyNumberFormat="1" applyFont="1" applyFill="1" applyBorder="1" applyAlignment="1">
      <alignment horizontal="center"/>
    </xf>
    <xf numFmtId="0" fontId="0" fillId="2" borderId="10" xfId="0" applyFont="1" applyFill="1" applyBorder="1"/>
    <xf numFmtId="167" fontId="0" fillId="2" borderId="11" xfId="0" applyNumberFormat="1" applyFont="1" applyFill="1" applyBorder="1" applyAlignment="1">
      <alignment horizontal="center"/>
    </xf>
    <xf numFmtId="0" fontId="0" fillId="2" borderId="10" xfId="0" applyFont="1" applyFill="1" applyBorder="1" applyAlignment="1">
      <alignment horizontal="center"/>
    </xf>
    <xf numFmtId="5" fontId="0" fillId="2" borderId="7" xfId="0" applyNumberFormat="1" applyFont="1" applyFill="1" applyBorder="1" applyAlignment="1">
      <alignment horizontal="center"/>
    </xf>
    <xf numFmtId="0" fontId="0" fillId="2" borderId="7" xfId="0" applyFont="1" applyFill="1" applyBorder="1" applyAlignment="1">
      <alignment horizontal="center"/>
    </xf>
    <xf numFmtId="167" fontId="0" fillId="2" borderId="7" xfId="0" applyNumberFormat="1" applyFont="1" applyFill="1" applyBorder="1" applyAlignment="1">
      <alignment horizontal="center"/>
    </xf>
    <xf numFmtId="167" fontId="0" fillId="11" borderId="5" xfId="0" applyNumberFormat="1" applyFont="1" applyFill="1" applyBorder="1" applyAlignment="1">
      <alignment horizontal="center"/>
    </xf>
    <xf numFmtId="6" fontId="0" fillId="2" borderId="0" xfId="0" applyNumberFormat="1" applyFont="1" applyFill="1" applyAlignment="1">
      <alignment horizontal="center"/>
    </xf>
    <xf numFmtId="164" fontId="0" fillId="2" borderId="0" xfId="0" applyNumberFormat="1" applyFont="1" applyFill="1" applyAlignment="1">
      <alignment horizontal="center"/>
    </xf>
    <xf numFmtId="3" fontId="0" fillId="2" borderId="0" xfId="0" applyNumberFormat="1" applyFont="1" applyFill="1" applyAlignment="1">
      <alignment horizontal="center"/>
    </xf>
    <xf numFmtId="9" fontId="0" fillId="2" borderId="0" xfId="0" applyNumberFormat="1" applyFont="1" applyFill="1" applyBorder="1" applyAlignment="1">
      <alignment horizontal="center"/>
    </xf>
    <xf numFmtId="0" fontId="0" fillId="11" borderId="0" xfId="0" applyFont="1" applyFill="1" applyBorder="1"/>
    <xf numFmtId="0" fontId="0" fillId="11" borderId="0" xfId="0" applyFont="1" applyFill="1" applyBorder="1" applyAlignment="1">
      <alignment horizontal="center"/>
    </xf>
    <xf numFmtId="0" fontId="9" fillId="2" borderId="4" xfId="0" applyFont="1" applyFill="1" applyBorder="1" applyAlignment="1">
      <alignment horizontal="left" indent="1"/>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0" fillId="8" borderId="14" xfId="0" applyFont="1" applyFill="1" applyBorder="1" applyAlignment="1" applyProtection="1">
      <alignment horizontal="center"/>
      <protection locked="0"/>
    </xf>
    <xf numFmtId="0" fontId="0" fillId="2" borderId="0" xfId="0" applyFont="1" applyFill="1" applyBorder="1" applyProtection="1">
      <protection locked="0"/>
    </xf>
    <xf numFmtId="0" fontId="0" fillId="5" borderId="4" xfId="0" applyFont="1" applyFill="1" applyBorder="1"/>
    <xf numFmtId="0" fontId="0" fillId="8" borderId="12" xfId="0" applyFont="1" applyFill="1" applyBorder="1" applyAlignment="1" applyProtection="1">
      <alignment horizontal="center"/>
      <protection locked="0"/>
    </xf>
    <xf numFmtId="0" fontId="0" fillId="8" borderId="13" xfId="0" applyFont="1" applyFill="1" applyBorder="1" applyAlignment="1" applyProtection="1">
      <alignment horizontal="center"/>
      <protection locked="0"/>
    </xf>
    <xf numFmtId="0" fontId="0" fillId="5" borderId="9" xfId="0" applyFont="1" applyFill="1" applyBorder="1"/>
    <xf numFmtId="0" fontId="0" fillId="5" borderId="11" xfId="0" applyFont="1" applyFill="1" applyBorder="1" applyAlignment="1">
      <alignment horizontal="center"/>
    </xf>
    <xf numFmtId="0" fontId="0" fillId="5" borderId="9" xfId="0" applyFont="1" applyFill="1" applyBorder="1" applyAlignment="1">
      <alignment horizontal="center"/>
    </xf>
    <xf numFmtId="0" fontId="0" fillId="5" borderId="10" xfId="0" applyFont="1" applyFill="1" applyBorder="1" applyAlignment="1">
      <alignment horizontal="center"/>
    </xf>
    <xf numFmtId="0" fontId="0" fillId="5" borderId="6" xfId="0" applyFont="1" applyFill="1" applyBorder="1" applyAlignment="1">
      <alignment horizontal="center"/>
    </xf>
    <xf numFmtId="5" fontId="0" fillId="8" borderId="4" xfId="0" applyNumberFormat="1" applyFont="1" applyFill="1" applyBorder="1" applyAlignment="1" applyProtection="1">
      <alignment horizontal="center"/>
      <protection locked="0"/>
    </xf>
    <xf numFmtId="5" fontId="0" fillId="8" borderId="9" xfId="0" applyNumberFormat="1" applyFont="1" applyFill="1" applyBorder="1" applyAlignment="1" applyProtection="1">
      <alignment horizontal="center"/>
      <protection locked="0"/>
    </xf>
    <xf numFmtId="5" fontId="0" fillId="8" borderId="10" xfId="0" applyNumberFormat="1" applyFont="1" applyFill="1" applyBorder="1" applyAlignment="1" applyProtection="1">
      <alignment horizontal="center"/>
      <protection locked="0"/>
    </xf>
    <xf numFmtId="9" fontId="0" fillId="2" borderId="0" xfId="0" applyNumberFormat="1" applyFont="1" applyFill="1"/>
    <xf numFmtId="0" fontId="0" fillId="0" borderId="8" xfId="0" applyFont="1" applyBorder="1" applyAlignment="1">
      <alignment horizontal="center"/>
    </xf>
    <xf numFmtId="0" fontId="0" fillId="0" borderId="5" xfId="0" applyFont="1" applyBorder="1" applyAlignment="1">
      <alignment horizontal="center"/>
    </xf>
    <xf numFmtId="0" fontId="0" fillId="2" borderId="2" xfId="0" applyFont="1" applyFill="1" applyBorder="1" applyAlignment="1">
      <alignment horizontal="center"/>
    </xf>
    <xf numFmtId="0" fontId="11" fillId="2" borderId="0" xfId="3" applyFont="1" applyFill="1"/>
    <xf numFmtId="0" fontId="3" fillId="2" borderId="0" xfId="3" applyFont="1" applyFill="1"/>
    <xf numFmtId="0" fontId="11" fillId="2" borderId="0" xfId="3" applyFont="1" applyFill="1" applyBorder="1"/>
    <xf numFmtId="0" fontId="11" fillId="2" borderId="9" xfId="3" applyFont="1" applyFill="1" applyBorder="1" applyAlignment="1">
      <alignment horizontal="left" indent="2"/>
    </xf>
    <xf numFmtId="0" fontId="11" fillId="2" borderId="10" xfId="3" applyFont="1" applyFill="1" applyBorder="1"/>
    <xf numFmtId="0" fontId="11" fillId="2" borderId="11" xfId="3" applyFont="1" applyFill="1" applyBorder="1"/>
    <xf numFmtId="0" fontId="9" fillId="2" borderId="0" xfId="3" applyFont="1" applyFill="1"/>
    <xf numFmtId="0" fontId="11" fillId="2" borderId="0" xfId="3" applyFont="1" applyFill="1" applyAlignment="1">
      <alignment horizontal="left" indent="1"/>
    </xf>
    <xf numFmtId="165" fontId="11" fillId="2" borderId="0" xfId="1" applyNumberFormat="1" applyFont="1" applyFill="1" applyBorder="1" applyProtection="1"/>
    <xf numFmtId="0" fontId="2" fillId="2" borderId="0" xfId="0" applyFont="1" applyFill="1" applyAlignment="1">
      <alignment horizontal="center"/>
    </xf>
    <xf numFmtId="0" fontId="11" fillId="2" borderId="0" xfId="3" applyFont="1" applyFill="1" applyBorder="1" applyAlignment="1">
      <alignment horizontal="left" indent="1"/>
    </xf>
    <xf numFmtId="0" fontId="11" fillId="2" borderId="0" xfId="3" applyFont="1" applyFill="1" applyBorder="1" applyAlignment="1">
      <alignment horizontal="center"/>
    </xf>
    <xf numFmtId="0" fontId="36" fillId="2" borderId="0" xfId="3" applyFont="1" applyFill="1"/>
    <xf numFmtId="0" fontId="4" fillId="2" borderId="11" xfId="0" applyFont="1" applyFill="1" applyBorder="1" applyAlignment="1">
      <alignment horizontal="center"/>
    </xf>
    <xf numFmtId="0" fontId="26" fillId="2" borderId="9" xfId="0" applyFont="1" applyFill="1" applyBorder="1"/>
    <xf numFmtId="0" fontId="7" fillId="2" borderId="10" xfId="0" applyFont="1" applyFill="1" applyBorder="1"/>
    <xf numFmtId="0" fontId="7" fillId="13" borderId="11" xfId="0" applyFont="1" applyFill="1" applyBorder="1" applyAlignment="1">
      <alignment horizontal="center"/>
    </xf>
    <xf numFmtId="0" fontId="7" fillId="2" borderId="43" xfId="0" applyFont="1" applyFill="1" applyBorder="1" applyAlignment="1">
      <alignment horizontal="center"/>
    </xf>
    <xf numFmtId="0" fontId="7" fillId="2" borderId="4" xfId="0" applyFont="1" applyFill="1" applyBorder="1" applyAlignment="1">
      <alignment horizontal="left"/>
    </xf>
    <xf numFmtId="0" fontId="7" fillId="2" borderId="9" xfId="0" applyFont="1" applyFill="1" applyBorder="1" applyAlignment="1">
      <alignment horizontal="left"/>
    </xf>
    <xf numFmtId="0" fontId="11" fillId="2" borderId="0" xfId="3" applyFont="1" applyFill="1" applyBorder="1" applyAlignment="1"/>
    <xf numFmtId="0" fontId="33" fillId="2" borderId="0" xfId="3" applyFont="1" applyFill="1" applyBorder="1" applyAlignment="1">
      <alignment horizontal="center"/>
    </xf>
    <xf numFmtId="0" fontId="0" fillId="2" borderId="0" xfId="0" applyFill="1" applyBorder="1" applyAlignment="1">
      <alignment horizontal="center"/>
    </xf>
    <xf numFmtId="9" fontId="0" fillId="2" borderId="0" xfId="0" applyNumberFormat="1" applyFill="1" applyAlignment="1">
      <alignment horizontal="center"/>
    </xf>
    <xf numFmtId="0" fontId="9" fillId="2" borderId="0" xfId="3" applyFont="1" applyFill="1" applyAlignment="1">
      <alignment horizontal="center"/>
    </xf>
    <xf numFmtId="0" fontId="0" fillId="2" borderId="0" xfId="0" applyFont="1" applyFill="1" applyAlignment="1">
      <alignment horizontal="center"/>
    </xf>
    <xf numFmtId="0" fontId="0" fillId="5" borderId="7" xfId="0" applyFont="1" applyFill="1" applyBorder="1" applyAlignment="1">
      <alignment horizontal="center"/>
    </xf>
    <xf numFmtId="0" fontId="0" fillId="5" borderId="8" xfId="0" applyFont="1" applyFill="1" applyBorder="1" applyAlignment="1">
      <alignment horizontal="center"/>
    </xf>
    <xf numFmtId="9" fontId="11" fillId="8" borderId="0" xfId="2" applyFont="1" applyFill="1" applyAlignment="1" applyProtection="1">
      <alignment horizontal="center"/>
      <protection locked="0"/>
    </xf>
    <xf numFmtId="1" fontId="11" fillId="2" borderId="0" xfId="3" applyNumberFormat="1" applyFont="1" applyFill="1" applyAlignment="1" applyProtection="1">
      <alignment horizontal="center"/>
      <protection locked="0"/>
    </xf>
    <xf numFmtId="5" fontId="0" fillId="2" borderId="0" xfId="1" applyNumberFormat="1" applyFont="1" applyFill="1" applyBorder="1" applyAlignment="1" applyProtection="1">
      <alignment horizontal="center"/>
      <protection locked="0"/>
    </xf>
    <xf numFmtId="1" fontId="11" fillId="2" borderId="10" xfId="3" applyNumberFormat="1" applyFont="1" applyFill="1" applyBorder="1" applyAlignment="1" applyProtection="1">
      <alignment horizontal="center"/>
      <protection locked="0"/>
    </xf>
    <xf numFmtId="5" fontId="0" fillId="2" borderId="10" xfId="1" applyNumberFormat="1" applyFont="1" applyFill="1" applyBorder="1" applyAlignment="1" applyProtection="1">
      <alignment horizontal="center"/>
      <protection locked="0"/>
    </xf>
    <xf numFmtId="9" fontId="11" fillId="8" borderId="10" xfId="2" applyFont="1" applyFill="1" applyBorder="1" applyAlignment="1" applyProtection="1">
      <alignment horizontal="center"/>
      <protection locked="0"/>
    </xf>
    <xf numFmtId="5" fontId="0" fillId="2" borderId="11" xfId="1" applyNumberFormat="1" applyFont="1" applyFill="1" applyBorder="1" applyAlignment="1" applyProtection="1">
      <alignment horizontal="center"/>
    </xf>
    <xf numFmtId="0" fontId="11" fillId="2" borderId="9" xfId="3" applyFont="1" applyFill="1" applyBorder="1" applyAlignment="1"/>
    <xf numFmtId="0" fontId="0" fillId="2" borderId="0" xfId="0" applyFill="1" applyBorder="1" applyAlignment="1">
      <alignment horizontal="center"/>
    </xf>
    <xf numFmtId="0" fontId="0" fillId="5" borderId="7" xfId="0" applyFont="1" applyFill="1" applyBorder="1" applyAlignment="1">
      <alignment horizontal="center"/>
    </xf>
    <xf numFmtId="0" fontId="0" fillId="5" borderId="8" xfId="0" applyFont="1" applyFill="1" applyBorder="1" applyAlignment="1">
      <alignment horizontal="center"/>
    </xf>
    <xf numFmtId="0" fontId="0" fillId="2" borderId="0" xfId="0" applyFill="1" applyAlignment="1">
      <alignment horizontal="left" vertical="center"/>
    </xf>
    <xf numFmtId="0" fontId="11" fillId="0" borderId="0" xfId="0" applyFont="1"/>
    <xf numFmtId="0" fontId="7" fillId="4" borderId="30" xfId="0" applyFont="1" applyFill="1" applyBorder="1" applyAlignment="1">
      <alignment horizontal="center"/>
    </xf>
    <xf numFmtId="0" fontId="3" fillId="0" borderId="0" xfId="0" applyFont="1"/>
    <xf numFmtId="0" fontId="0" fillId="2" borderId="0" xfId="0" applyFill="1" applyBorder="1" applyAlignment="1" applyProtection="1">
      <alignment horizontal="left"/>
      <protection locked="0"/>
    </xf>
    <xf numFmtId="0" fontId="23" fillId="2" borderId="0" xfId="0" applyFont="1" applyFill="1" applyBorder="1" applyAlignment="1">
      <alignment horizontal="right"/>
    </xf>
    <xf numFmtId="0" fontId="0" fillId="2" borderId="47" xfId="0" applyFill="1" applyBorder="1"/>
    <xf numFmtId="9" fontId="1" fillId="2" borderId="48" xfId="2" applyFont="1" applyFill="1" applyBorder="1" applyAlignment="1">
      <alignment horizontal="center"/>
    </xf>
    <xf numFmtId="9" fontId="0" fillId="2" borderId="48" xfId="0" applyNumberFormat="1" applyFont="1" applyFill="1" applyBorder="1" applyAlignment="1">
      <alignment horizontal="center"/>
    </xf>
    <xf numFmtId="0" fontId="0" fillId="2" borderId="48" xfId="0" applyFill="1" applyBorder="1"/>
    <xf numFmtId="5" fontId="0" fillId="2" borderId="48" xfId="0" applyNumberFormat="1" applyFill="1" applyBorder="1" applyAlignment="1">
      <alignment horizontal="center"/>
    </xf>
    <xf numFmtId="0" fontId="0" fillId="2" borderId="49" xfId="0" applyFill="1" applyBorder="1"/>
    <xf numFmtId="0" fontId="0" fillId="2" borderId="50" xfId="0" applyFill="1" applyBorder="1"/>
    <xf numFmtId="5" fontId="0" fillId="11" borderId="0" xfId="0" applyNumberFormat="1" applyFont="1" applyFill="1" applyBorder="1" applyAlignment="1">
      <alignment horizontal="center"/>
    </xf>
    <xf numFmtId="167" fontId="0" fillId="11" borderId="0" xfId="0" applyNumberFormat="1" applyFont="1" applyFill="1" applyBorder="1" applyAlignment="1">
      <alignment horizontal="center"/>
    </xf>
    <xf numFmtId="0" fontId="0" fillId="2" borderId="0" xfId="0" applyFill="1" applyBorder="1" applyAlignment="1" applyProtection="1">
      <alignment horizontal="center"/>
      <protection locked="0"/>
    </xf>
    <xf numFmtId="6" fontId="0" fillId="8" borderId="0" xfId="0" applyNumberFormat="1" applyFill="1" applyBorder="1" applyAlignment="1" applyProtection="1">
      <alignment horizontal="center"/>
      <protection locked="0"/>
    </xf>
    <xf numFmtId="0" fontId="0" fillId="2" borderId="51" xfId="0" applyFill="1" applyBorder="1" applyAlignment="1">
      <alignment horizontal="center"/>
    </xf>
    <xf numFmtId="0" fontId="0" fillId="2" borderId="0" xfId="0" applyFill="1" applyBorder="1" applyAlignment="1">
      <alignment horizontal="center"/>
    </xf>
    <xf numFmtId="0" fontId="5" fillId="2" borderId="0" xfId="3" applyFont="1" applyFill="1"/>
    <xf numFmtId="0" fontId="2" fillId="2" borderId="0" xfId="0" applyFont="1" applyFill="1" applyBorder="1"/>
    <xf numFmtId="0" fontId="9" fillId="0" borderId="0" xfId="0" applyFont="1" applyAlignment="1">
      <alignment horizontal="center"/>
    </xf>
    <xf numFmtId="0" fontId="32" fillId="2" borderId="0" xfId="0" applyFont="1" applyFill="1" applyAlignment="1">
      <alignment vertical="top"/>
    </xf>
    <xf numFmtId="0" fontId="4" fillId="2" borderId="0" xfId="0" applyFont="1" applyFill="1" applyBorder="1" applyAlignment="1">
      <alignment vertical="top"/>
    </xf>
    <xf numFmtId="0" fontId="0" fillId="2" borderId="0" xfId="0" applyFill="1" applyBorder="1" applyAlignment="1">
      <alignment vertical="top"/>
    </xf>
    <xf numFmtId="0" fontId="0" fillId="8" borderId="0" xfId="0" applyFill="1" applyBorder="1" applyAlignment="1" applyProtection="1">
      <alignment horizontal="center" vertical="top"/>
      <protection locked="0"/>
    </xf>
    <xf numFmtId="0" fontId="0" fillId="2" borderId="0" xfId="0" applyFill="1" applyAlignment="1">
      <alignment horizontal="center" vertical="top"/>
    </xf>
    <xf numFmtId="0" fontId="0" fillId="0" borderId="0" xfId="0" applyAlignment="1">
      <alignment vertical="top"/>
    </xf>
    <xf numFmtId="5" fontId="0" fillId="2" borderId="0" xfId="0" applyNumberFormat="1" applyFill="1" applyAlignment="1">
      <alignment horizontal="center" vertical="top"/>
    </xf>
    <xf numFmtId="5" fontId="0" fillId="8" borderId="0" xfId="0" applyNumberFormat="1" applyFont="1" applyFill="1" applyBorder="1" applyAlignment="1" applyProtection="1">
      <alignment horizontal="center" vertical="top"/>
      <protection locked="0"/>
    </xf>
    <xf numFmtId="5" fontId="0" fillId="2" borderId="0" xfId="0" applyNumberFormat="1" applyFill="1" applyBorder="1" applyAlignment="1">
      <alignment horizontal="center" vertical="top"/>
    </xf>
    <xf numFmtId="0" fontId="0" fillId="2" borderId="0" xfId="0" applyFill="1" applyBorder="1" applyAlignment="1">
      <alignment horizontal="left" vertical="top" indent="2"/>
    </xf>
    <xf numFmtId="0" fontId="0" fillId="2" borderId="0" xfId="0" applyFill="1" applyAlignment="1">
      <alignment horizontal="left" vertical="top" wrapText="1" indent="2"/>
    </xf>
    <xf numFmtId="0" fontId="0" fillId="2" borderId="0" xfId="0" applyFont="1" applyFill="1" applyBorder="1" applyAlignment="1">
      <alignment horizontal="left" vertical="top" indent="2"/>
    </xf>
    <xf numFmtId="0" fontId="0" fillId="2" borderId="0" xfId="0" applyFont="1" applyFill="1" applyBorder="1" applyAlignment="1">
      <alignment horizontal="left" vertical="top" wrapText="1" indent="2"/>
    </xf>
    <xf numFmtId="0" fontId="42" fillId="2" borderId="0" xfId="0" applyFont="1" applyFill="1" applyBorder="1"/>
    <xf numFmtId="0" fontId="9" fillId="2" borderId="6" xfId="0" applyFont="1" applyFill="1" applyBorder="1"/>
    <xf numFmtId="5" fontId="9" fillId="2" borderId="7" xfId="0" applyNumberFormat="1" applyFont="1" applyFill="1" applyBorder="1" applyAlignment="1">
      <alignment horizontal="center"/>
    </xf>
    <xf numFmtId="0" fontId="4" fillId="2" borderId="23" xfId="0" applyFont="1" applyFill="1" applyBorder="1"/>
    <xf numFmtId="0" fontId="0" fillId="0" borderId="4" xfId="0" applyBorder="1"/>
    <xf numFmtId="0" fontId="0" fillId="2" borderId="4" xfId="0" applyFill="1" applyBorder="1" applyAlignment="1">
      <alignment horizontal="left"/>
    </xf>
    <xf numFmtId="0" fontId="11" fillId="2" borderId="4" xfId="0" applyFont="1" applyFill="1" applyBorder="1" applyAlignment="1">
      <alignment horizontal="left"/>
    </xf>
    <xf numFmtId="0" fontId="0" fillId="8" borderId="4" xfId="0" applyFill="1" applyBorder="1" applyAlignment="1" applyProtection="1">
      <alignment horizontal="left"/>
      <protection locked="0"/>
    </xf>
    <xf numFmtId="0" fontId="0" fillId="2" borderId="52" xfId="0" applyFont="1" applyFill="1" applyBorder="1" applyAlignment="1">
      <alignment horizontal="left"/>
    </xf>
    <xf numFmtId="5" fontId="29" fillId="9" borderId="0" xfId="0" applyNumberFormat="1" applyFont="1" applyFill="1" applyBorder="1" applyAlignment="1">
      <alignment horizontal="center"/>
    </xf>
    <xf numFmtId="5" fontId="0" fillId="2" borderId="53" xfId="0" applyNumberFormat="1" applyFill="1" applyBorder="1" applyAlignment="1">
      <alignment horizontal="center"/>
    </xf>
    <xf numFmtId="167" fontId="0" fillId="2" borderId="5" xfId="0" applyNumberFormat="1" applyFill="1" applyBorder="1" applyAlignment="1">
      <alignment horizontal="center"/>
    </xf>
    <xf numFmtId="0" fontId="6" fillId="9" borderId="24" xfId="0" applyFont="1" applyFill="1" applyBorder="1" applyAlignment="1">
      <alignment horizontal="center"/>
    </xf>
    <xf numFmtId="0" fontId="6" fillId="2" borderId="24" xfId="0" applyFont="1" applyFill="1" applyBorder="1" applyAlignment="1">
      <alignment horizontal="center"/>
    </xf>
    <xf numFmtId="5" fontId="29" fillId="2" borderId="55" xfId="0" applyNumberFormat="1" applyFont="1" applyFill="1" applyBorder="1" applyAlignment="1">
      <alignment horizontal="center"/>
    </xf>
    <xf numFmtId="5" fontId="0" fillId="2" borderId="54" xfId="0" applyNumberFormat="1" applyFont="1" applyFill="1" applyBorder="1" applyAlignment="1">
      <alignment horizontal="center"/>
    </xf>
    <xf numFmtId="0" fontId="4" fillId="2" borderId="25" xfId="0" applyFont="1" applyFill="1" applyBorder="1" applyAlignment="1">
      <alignment horizontal="center"/>
    </xf>
    <xf numFmtId="5" fontId="0" fillId="2" borderId="56" xfId="0" applyNumberFormat="1" applyFont="1" applyFill="1" applyBorder="1" applyAlignment="1">
      <alignment horizontal="center"/>
    </xf>
    <xf numFmtId="0" fontId="30" fillId="9" borderId="0" xfId="0" applyFont="1" applyFill="1" applyBorder="1" applyAlignment="1">
      <alignment horizontal="center" wrapText="1"/>
    </xf>
    <xf numFmtId="0" fontId="11" fillId="4" borderId="34" xfId="0" applyFont="1" applyFill="1" applyBorder="1" applyAlignment="1">
      <alignment horizontal="center"/>
    </xf>
    <xf numFmtId="5" fontId="11" fillId="2" borderId="30" xfId="0" applyNumberFormat="1" applyFont="1" applyFill="1" applyBorder="1" applyAlignment="1">
      <alignment horizontal="center"/>
    </xf>
    <xf numFmtId="0" fontId="43" fillId="2" borderId="0" xfId="0" applyFont="1" applyFill="1" applyBorder="1"/>
    <xf numFmtId="0" fontId="4" fillId="3" borderId="0" xfId="0" applyFont="1" applyFill="1" applyBorder="1"/>
    <xf numFmtId="0" fontId="0" fillId="3" borderId="0" xfId="0" applyFill="1" applyBorder="1"/>
    <xf numFmtId="0" fontId="41" fillId="2" borderId="0" xfId="0" applyFont="1" applyFill="1" applyBorder="1" applyAlignment="1">
      <alignment vertical="top"/>
    </xf>
    <xf numFmtId="0" fontId="0" fillId="2" borderId="0" xfId="0" applyFont="1" applyFill="1" applyAlignment="1">
      <alignment vertical="top"/>
    </xf>
    <xf numFmtId="0" fontId="0" fillId="0" borderId="0" xfId="0" applyFont="1" applyAlignment="1">
      <alignment vertical="top"/>
    </xf>
    <xf numFmtId="0" fontId="0" fillId="2" borderId="0" xfId="0" applyFont="1" applyFill="1" applyBorder="1" applyAlignment="1">
      <alignment horizontal="left" vertical="center"/>
    </xf>
    <xf numFmtId="0" fontId="0" fillId="2" borderId="0" xfId="0" applyFont="1" applyFill="1" applyAlignment="1">
      <alignment horizontal="left" vertical="center"/>
    </xf>
    <xf numFmtId="14" fontId="0" fillId="8" borderId="0" xfId="0" applyNumberFormat="1" applyFont="1" applyFill="1" applyBorder="1" applyAlignment="1" applyProtection="1">
      <alignment horizontal="center" vertical="center"/>
      <protection locked="0"/>
    </xf>
    <xf numFmtId="0" fontId="0" fillId="0" borderId="0" xfId="0" applyFont="1" applyAlignment="1">
      <alignment horizontal="left" vertical="center"/>
    </xf>
    <xf numFmtId="1" fontId="0" fillId="2" borderId="0" xfId="0" applyNumberFormat="1" applyFont="1" applyFill="1" applyBorder="1" applyAlignment="1">
      <alignment horizontal="center" vertical="center"/>
    </xf>
    <xf numFmtId="0" fontId="0" fillId="5" borderId="14" xfId="0" applyFont="1" applyFill="1" applyBorder="1" applyAlignment="1">
      <alignment horizontal="center" wrapText="1"/>
    </xf>
    <xf numFmtId="0" fontId="9" fillId="2" borderId="9" xfId="3" applyFont="1" applyFill="1" applyBorder="1" applyAlignment="1">
      <alignment horizontal="left" indent="7"/>
    </xf>
    <xf numFmtId="0" fontId="44" fillId="2" borderId="0" xfId="0" applyFont="1" applyFill="1"/>
    <xf numFmtId="0" fontId="2" fillId="0" borderId="0" xfId="0" applyFont="1"/>
    <xf numFmtId="0" fontId="2" fillId="0" borderId="0" xfId="0" applyFont="1" applyAlignment="1">
      <alignment horizontal="center"/>
    </xf>
    <xf numFmtId="0" fontId="5" fillId="0" borderId="0" xfId="0" applyFont="1"/>
    <xf numFmtId="0" fontId="5" fillId="0" borderId="0" xfId="0" applyFont="1" applyFill="1"/>
    <xf numFmtId="0" fontId="2" fillId="0" borderId="0" xfId="0" applyFont="1" applyFill="1"/>
    <xf numFmtId="9" fontId="5" fillId="0" borderId="0" xfId="0" applyNumberFormat="1" applyFont="1"/>
    <xf numFmtId="0" fontId="5" fillId="0" borderId="0" xfId="0" applyFont="1" applyAlignment="1">
      <alignment horizontal="center"/>
    </xf>
    <xf numFmtId="9" fontId="5" fillId="0" borderId="0" xfId="0" applyNumberFormat="1" applyFont="1" applyAlignment="1">
      <alignment horizontal="center"/>
    </xf>
    <xf numFmtId="9" fontId="5" fillId="0" borderId="0" xfId="2" applyFont="1" applyFill="1" applyBorder="1" applyAlignment="1">
      <alignment horizontal="center"/>
    </xf>
    <xf numFmtId="9" fontId="46" fillId="0" borderId="0" xfId="0" applyNumberFormat="1" applyFont="1" applyAlignment="1">
      <alignment horizontal="center"/>
    </xf>
    <xf numFmtId="0" fontId="2" fillId="2" borderId="0" xfId="3" applyFont="1" applyFill="1" applyAlignment="1">
      <alignment vertical="center"/>
    </xf>
    <xf numFmtId="0" fontId="5" fillId="2" borderId="7" xfId="0" applyFont="1" applyFill="1" applyBorder="1"/>
    <xf numFmtId="0" fontId="5" fillId="2" borderId="8" xfId="0" applyFont="1" applyFill="1" applyBorder="1"/>
    <xf numFmtId="0" fontId="5" fillId="2" borderId="0" xfId="0" applyFont="1" applyFill="1" applyAlignment="1">
      <alignment vertical="top"/>
    </xf>
    <xf numFmtId="6" fontId="5" fillId="2" borderId="0" xfId="0" applyNumberFormat="1" applyFont="1" applyFill="1"/>
    <xf numFmtId="0" fontId="5" fillId="2" borderId="5" xfId="0" applyFont="1" applyFill="1" applyBorder="1"/>
    <xf numFmtId="0" fontId="9" fillId="2" borderId="6" xfId="0" applyFont="1" applyFill="1" applyBorder="1" applyAlignment="1">
      <alignment horizontal="left" indent="1"/>
    </xf>
    <xf numFmtId="0" fontId="11" fillId="2" borderId="4" xfId="0" applyFont="1" applyFill="1" applyBorder="1" applyAlignment="1">
      <alignment horizontal="left" indent="1"/>
    </xf>
    <xf numFmtId="0" fontId="9" fillId="2" borderId="0" xfId="0" applyFont="1" applyFill="1" applyBorder="1" applyAlignment="1">
      <alignment horizontal="center" vertical="center"/>
    </xf>
    <xf numFmtId="0" fontId="9" fillId="2" borderId="6" xfId="0" applyFont="1" applyFill="1" applyBorder="1" applyAlignment="1">
      <alignment horizontal="left" vertical="center" indent="1"/>
    </xf>
    <xf numFmtId="0" fontId="9" fillId="2" borderId="7" xfId="0" applyFont="1" applyFill="1" applyBorder="1" applyAlignment="1">
      <alignment horizontal="center" vertical="center"/>
    </xf>
    <xf numFmtId="0" fontId="11" fillId="2" borderId="4" xfId="0" applyFont="1" applyFill="1" applyBorder="1" applyAlignment="1">
      <alignment horizontal="left" vertical="top"/>
    </xf>
    <xf numFmtId="0" fontId="9" fillId="2" borderId="0" xfId="0" applyFont="1" applyFill="1" applyBorder="1" applyAlignment="1">
      <alignment horizontal="center" vertical="top"/>
    </xf>
    <xf numFmtId="0" fontId="11" fillId="2" borderId="0" xfId="0" applyFont="1" applyFill="1" applyBorder="1" applyAlignment="1">
      <alignment vertical="top"/>
    </xf>
    <xf numFmtId="0" fontId="11" fillId="2" borderId="5" xfId="0" applyFont="1" applyFill="1" applyBorder="1" applyAlignment="1">
      <alignment vertical="top"/>
    </xf>
    <xf numFmtId="0" fontId="11" fillId="2" borderId="9" xfId="0" applyFont="1" applyFill="1" applyBorder="1" applyAlignment="1">
      <alignment horizontal="left" vertical="top"/>
    </xf>
    <xf numFmtId="0" fontId="9" fillId="2" borderId="10" xfId="0" applyFont="1" applyFill="1" applyBorder="1" applyAlignment="1">
      <alignment horizontal="center" vertical="top"/>
    </xf>
    <xf numFmtId="0" fontId="11" fillId="2" borderId="10" xfId="0" applyFont="1" applyFill="1" applyBorder="1" applyAlignment="1">
      <alignment vertical="top"/>
    </xf>
    <xf numFmtId="0" fontId="11" fillId="2" borderId="11" xfId="0" applyFont="1" applyFill="1" applyBorder="1" applyAlignment="1">
      <alignment vertical="top"/>
    </xf>
    <xf numFmtId="0" fontId="9" fillId="2" borderId="6" xfId="3" applyFont="1" applyFill="1" applyBorder="1" applyAlignment="1">
      <alignment horizontal="left" indent="1"/>
    </xf>
    <xf numFmtId="0" fontId="11" fillId="2" borderId="7" xfId="3" applyFont="1" applyFill="1" applyBorder="1"/>
    <xf numFmtId="0" fontId="11" fillId="2" borderId="4" xfId="3" applyFont="1" applyFill="1" applyBorder="1" applyAlignment="1">
      <alignment horizontal="left" indent="4"/>
    </xf>
    <xf numFmtId="0" fontId="4" fillId="2" borderId="0" xfId="0" applyFont="1" applyFill="1" applyBorder="1" applyAlignment="1">
      <alignment horizontal="center"/>
    </xf>
    <xf numFmtId="0" fontId="4" fillId="2" borderId="4" xfId="0" applyFont="1" applyFill="1" applyBorder="1" applyAlignment="1">
      <alignment horizontal="center"/>
    </xf>
    <xf numFmtId="0" fontId="33" fillId="2" borderId="44" xfId="0" applyFont="1" applyFill="1" applyBorder="1"/>
    <xf numFmtId="0" fontId="0" fillId="2" borderId="45" xfId="0" applyFill="1" applyBorder="1"/>
    <xf numFmtId="6" fontId="11" fillId="2" borderId="48" xfId="0" applyNumberFormat="1" applyFont="1" applyFill="1" applyBorder="1" applyAlignment="1">
      <alignment horizontal="center"/>
    </xf>
    <xf numFmtId="6" fontId="11" fillId="2" borderId="51" xfId="0" applyNumberFormat="1" applyFont="1" applyFill="1" applyBorder="1" applyAlignment="1">
      <alignment horizontal="center"/>
    </xf>
    <xf numFmtId="5" fontId="11" fillId="2" borderId="0" xfId="0" applyNumberFormat="1" applyFont="1" applyFill="1" applyAlignment="1">
      <alignment horizontal="center"/>
    </xf>
    <xf numFmtId="3" fontId="9" fillId="2" borderId="0" xfId="0" applyNumberFormat="1" applyFont="1" applyFill="1" applyAlignment="1">
      <alignment horizontal="center"/>
    </xf>
    <xf numFmtId="0" fontId="4" fillId="5" borderId="1" xfId="0" applyFont="1" applyFill="1" applyBorder="1" applyAlignment="1">
      <alignment horizontal="left"/>
    </xf>
    <xf numFmtId="0" fontId="4" fillId="5" borderId="2" xfId="0" applyFont="1" applyFill="1" applyBorder="1" applyAlignment="1">
      <alignment horizontal="left"/>
    </xf>
    <xf numFmtId="0" fontId="4" fillId="5" borderId="3" xfId="0" applyFont="1" applyFill="1" applyBorder="1" applyAlignment="1">
      <alignment horizontal="left"/>
    </xf>
    <xf numFmtId="0" fontId="18" fillId="0" borderId="0" xfId="0" applyFont="1" applyAlignment="1">
      <alignment horizontal="left" indent="2"/>
    </xf>
    <xf numFmtId="43" fontId="5" fillId="2" borderId="0" xfId="1" applyFont="1" applyFill="1"/>
    <xf numFmtId="8" fontId="5" fillId="2" borderId="0" xfId="0" applyNumberFormat="1" applyFont="1" applyFill="1"/>
    <xf numFmtId="0" fontId="5" fillId="2" borderId="0" xfId="0" applyFont="1" applyFill="1" applyAlignment="1">
      <alignment horizontal="left"/>
    </xf>
    <xf numFmtId="0" fontId="4" fillId="2" borderId="0" xfId="0" applyFont="1" applyFill="1" applyBorder="1" applyAlignment="1">
      <alignment horizontal="center"/>
    </xf>
    <xf numFmtId="0" fontId="0" fillId="2" borderId="4" xfId="0" applyFont="1" applyFill="1" applyBorder="1" applyAlignment="1">
      <alignment horizontal="left" indent="3"/>
    </xf>
    <xf numFmtId="0" fontId="11" fillId="2" borderId="41" xfId="3" applyFont="1" applyFill="1" applyBorder="1" applyAlignment="1"/>
    <xf numFmtId="0" fontId="0" fillId="2" borderId="60" xfId="0" applyFont="1" applyFill="1" applyBorder="1"/>
    <xf numFmtId="164" fontId="9" fillId="2" borderId="61" xfId="5" applyNumberFormat="1" applyFont="1" applyFill="1" applyBorder="1" applyAlignment="1" applyProtection="1">
      <alignment horizontal="center"/>
    </xf>
    <xf numFmtId="5" fontId="0" fillId="2" borderId="62" xfId="0" applyNumberFormat="1" applyFont="1" applyFill="1" applyBorder="1" applyAlignment="1">
      <alignment horizontal="center"/>
    </xf>
    <xf numFmtId="0" fontId="5" fillId="2" borderId="0" xfId="0" applyFont="1" applyFill="1" applyBorder="1" applyAlignment="1">
      <alignment horizontal="center"/>
    </xf>
    <xf numFmtId="0" fontId="2" fillId="2" borderId="0" xfId="0" applyFont="1" applyFill="1" applyBorder="1" applyAlignment="1"/>
    <xf numFmtId="0" fontId="4" fillId="5" borderId="0" xfId="0" applyFont="1" applyFill="1" applyBorder="1" applyAlignment="1">
      <alignment horizontal="center" vertical="top"/>
    </xf>
    <xf numFmtId="9" fontId="27" fillId="5" borderId="5" xfId="2" applyFont="1" applyFill="1" applyBorder="1" applyAlignment="1">
      <alignment horizontal="center"/>
    </xf>
    <xf numFmtId="0" fontId="4" fillId="14" borderId="6" xfId="0" applyFont="1" applyFill="1" applyBorder="1" applyAlignment="1">
      <alignment horizontal="left"/>
    </xf>
    <xf numFmtId="0" fontId="4" fillId="14" borderId="7" xfId="0" applyFont="1" applyFill="1" applyBorder="1" applyAlignment="1">
      <alignment horizontal="center"/>
    </xf>
    <xf numFmtId="0" fontId="4" fillId="14" borderId="8" xfId="0" applyFont="1" applyFill="1" applyBorder="1" applyAlignment="1">
      <alignment horizontal="center"/>
    </xf>
    <xf numFmtId="0" fontId="48" fillId="11" borderId="6" xfId="0" applyFont="1" applyFill="1" applyBorder="1" applyAlignment="1">
      <alignment horizontal="left" vertical="center"/>
    </xf>
    <xf numFmtId="167" fontId="4" fillId="2" borderId="0" xfId="0" applyNumberFormat="1" applyFont="1" applyFill="1" applyBorder="1" applyAlignment="1">
      <alignment horizontal="center"/>
    </xf>
    <xf numFmtId="167" fontId="4" fillId="2" borderId="5" xfId="0" applyNumberFormat="1" applyFont="1" applyFill="1" applyBorder="1" applyAlignment="1">
      <alignment horizontal="center"/>
    </xf>
    <xf numFmtId="0" fontId="0" fillId="11" borderId="5" xfId="0" applyFont="1" applyFill="1" applyBorder="1" applyAlignment="1">
      <alignment horizontal="center"/>
    </xf>
    <xf numFmtId="0" fontId="0" fillId="11" borderId="4" xfId="0" applyFont="1" applyFill="1" applyBorder="1" applyAlignment="1">
      <alignment horizontal="left"/>
    </xf>
    <xf numFmtId="0" fontId="49" fillId="2" borderId="4" xfId="0" applyFont="1" applyFill="1" applyBorder="1"/>
    <xf numFmtId="0" fontId="9" fillId="2" borderId="0" xfId="3" applyFont="1" applyFill="1" applyBorder="1" applyAlignment="1">
      <alignment horizontal="left" indent="1"/>
    </xf>
    <xf numFmtId="9" fontId="9" fillId="2" borderId="0" xfId="5" applyFont="1" applyFill="1" applyBorder="1" applyAlignment="1" applyProtection="1">
      <alignment horizontal="center"/>
    </xf>
    <xf numFmtId="5" fontId="9" fillId="2" borderId="0" xfId="1" applyNumberFormat="1" applyFont="1" applyFill="1" applyBorder="1" applyAlignment="1" applyProtection="1">
      <alignment horizontal="center"/>
    </xf>
    <xf numFmtId="0" fontId="11" fillId="2" borderId="9" xfId="3" applyFont="1" applyFill="1" applyBorder="1" applyAlignment="1">
      <alignment horizontal="left" indent="1"/>
    </xf>
    <xf numFmtId="9" fontId="0" fillId="8" borderId="10" xfId="0" applyNumberFormat="1" applyFont="1" applyFill="1" applyBorder="1" applyAlignment="1" applyProtection="1">
      <alignment horizontal="center"/>
      <protection locked="0"/>
    </xf>
    <xf numFmtId="0" fontId="28" fillId="2" borderId="6" xfId="0" applyFont="1" applyFill="1" applyBorder="1" applyAlignment="1">
      <alignment horizontal="left" vertical="center"/>
    </xf>
    <xf numFmtId="0" fontId="4" fillId="2" borderId="7" xfId="0" applyFont="1" applyFill="1" applyBorder="1" applyAlignment="1">
      <alignment horizontal="center" vertical="center"/>
    </xf>
    <xf numFmtId="5" fontId="4" fillId="2" borderId="10" xfId="0" applyNumberFormat="1" applyFont="1" applyFill="1" applyBorder="1" applyAlignment="1">
      <alignment horizontal="center"/>
    </xf>
    <xf numFmtId="5" fontId="4" fillId="2" borderId="7" xfId="0" applyNumberFormat="1" applyFont="1" applyFill="1" applyBorder="1" applyAlignment="1">
      <alignment horizontal="center"/>
    </xf>
    <xf numFmtId="0" fontId="5" fillId="2" borderId="0" xfId="3" applyFont="1" applyFill="1" applyBorder="1"/>
    <xf numFmtId="0" fontId="5" fillId="2" borderId="7" xfId="3" applyFont="1" applyFill="1" applyBorder="1"/>
    <xf numFmtId="0" fontId="5" fillId="2" borderId="8" xfId="3" applyFont="1" applyFill="1" applyBorder="1"/>
    <xf numFmtId="0" fontId="5" fillId="2" borderId="5" xfId="3" applyFont="1" applyFill="1" applyBorder="1"/>
    <xf numFmtId="0" fontId="9" fillId="2" borderId="9" xfId="0" applyFont="1" applyFill="1" applyBorder="1" applyAlignment="1">
      <alignment horizontal="left"/>
    </xf>
    <xf numFmtId="0" fontId="11" fillId="2" borderId="42" xfId="3" applyFont="1" applyFill="1" applyBorder="1" applyAlignment="1">
      <alignment horizontal="center"/>
    </xf>
    <xf numFmtId="0" fontId="11" fillId="2" borderId="48" xfId="0" applyFont="1" applyFill="1" applyBorder="1" applyAlignment="1">
      <alignment horizontal="center"/>
    </xf>
    <xf numFmtId="0" fontId="33" fillId="2" borderId="47" xfId="0" applyFont="1" applyFill="1" applyBorder="1"/>
    <xf numFmtId="0" fontId="0" fillId="2" borderId="48" xfId="0" applyFill="1" applyBorder="1" applyAlignment="1">
      <alignment horizontal="center"/>
    </xf>
    <xf numFmtId="0" fontId="5" fillId="2" borderId="46" xfId="0" applyNumberFormat="1" applyFont="1" applyFill="1" applyBorder="1" applyAlignment="1">
      <alignment horizontal="center"/>
    </xf>
    <xf numFmtId="164" fontId="0" fillId="2" borderId="0" xfId="5" applyNumberFormat="1" applyFont="1" applyFill="1" applyBorder="1" applyAlignment="1" applyProtection="1">
      <alignment horizontal="center"/>
    </xf>
    <xf numFmtId="0" fontId="0" fillId="8" borderId="0" xfId="0" applyFill="1" applyBorder="1" applyProtection="1">
      <protection locked="0"/>
    </xf>
    <xf numFmtId="0" fontId="0" fillId="8" borderId="5" xfId="0" applyFill="1" applyBorder="1" applyProtection="1">
      <protection locked="0"/>
    </xf>
    <xf numFmtId="0" fontId="0" fillId="8" borderId="4" xfId="0" applyFill="1" applyBorder="1" applyProtection="1">
      <protection locked="0"/>
    </xf>
    <xf numFmtId="0" fontId="0" fillId="8" borderId="9" xfId="0" applyFill="1" applyBorder="1" applyProtection="1">
      <protection locked="0"/>
    </xf>
    <xf numFmtId="0" fontId="0" fillId="8" borderId="10" xfId="0" applyFill="1" applyBorder="1" applyProtection="1">
      <protection locked="0"/>
    </xf>
    <xf numFmtId="0" fontId="0" fillId="8" borderId="11" xfId="0" applyFill="1" applyBorder="1" applyProtection="1">
      <protection locked="0"/>
    </xf>
    <xf numFmtId="0" fontId="7" fillId="8" borderId="5" xfId="0" applyFont="1" applyFill="1" applyBorder="1" applyAlignment="1" applyProtection="1">
      <alignment horizontal="center"/>
    </xf>
    <xf numFmtId="0" fontId="4" fillId="2" borderId="7" xfId="0" applyFont="1" applyFill="1" applyBorder="1" applyAlignment="1">
      <alignment horizontal="center"/>
    </xf>
    <xf numFmtId="0" fontId="0" fillId="2" borderId="4" xfId="0" applyFont="1" applyFill="1" applyBorder="1" applyAlignment="1">
      <alignment horizontal="left" indent="3"/>
    </xf>
    <xf numFmtId="0" fontId="28" fillId="11" borderId="0" xfId="0" applyFont="1" applyFill="1" applyBorder="1" applyAlignment="1">
      <alignment horizontal="center"/>
    </xf>
    <xf numFmtId="167" fontId="0" fillId="2" borderId="8" xfId="0" applyNumberFormat="1" applyFont="1" applyFill="1" applyBorder="1" applyAlignment="1">
      <alignment horizontal="center"/>
    </xf>
    <xf numFmtId="0" fontId="4" fillId="2" borderId="63" xfId="0" applyFont="1" applyFill="1" applyBorder="1"/>
    <xf numFmtId="0" fontId="4" fillId="2" borderId="64" xfId="0" applyFont="1" applyFill="1" applyBorder="1"/>
    <xf numFmtId="9" fontId="4" fillId="2" borderId="64" xfId="0" applyNumberFormat="1" applyFont="1" applyFill="1" applyBorder="1" applyAlignment="1">
      <alignment horizontal="center"/>
    </xf>
    <xf numFmtId="0" fontId="4" fillId="2" borderId="64" xfId="0" applyFont="1" applyFill="1" applyBorder="1" applyAlignment="1">
      <alignment horizontal="center"/>
    </xf>
    <xf numFmtId="167" fontId="4" fillId="2" borderId="64" xfId="0" applyNumberFormat="1" applyFont="1" applyFill="1" applyBorder="1" applyAlignment="1">
      <alignment horizontal="center"/>
    </xf>
    <xf numFmtId="167" fontId="4" fillId="2" borderId="65" xfId="0" applyNumberFormat="1" applyFont="1" applyFill="1" applyBorder="1" applyAlignment="1">
      <alignment horizontal="center"/>
    </xf>
    <xf numFmtId="9" fontId="0" fillId="8" borderId="0" xfId="0" applyNumberFormat="1" applyFill="1" applyAlignment="1" applyProtection="1">
      <alignment horizontal="center"/>
      <protection locked="0"/>
    </xf>
    <xf numFmtId="6" fontId="0" fillId="8" borderId="0" xfId="0" applyNumberFormat="1" applyFill="1" applyAlignment="1" applyProtection="1">
      <alignment horizontal="center"/>
      <protection locked="0"/>
    </xf>
    <xf numFmtId="0" fontId="50" fillId="2" borderId="0" xfId="0" applyFont="1" applyFill="1"/>
    <xf numFmtId="0" fontId="50" fillId="2" borderId="0" xfId="0" applyFont="1" applyFill="1" applyAlignment="1">
      <alignment horizontal="center"/>
    </xf>
    <xf numFmtId="0" fontId="11" fillId="8" borderId="0" xfId="0" applyFont="1" applyFill="1" applyAlignment="1" applyProtection="1">
      <alignment horizontal="center"/>
      <protection locked="0"/>
    </xf>
    <xf numFmtId="0" fontId="0" fillId="8" borderId="0" xfId="0" applyFill="1" applyAlignment="1" applyProtection="1">
      <alignment horizontal="center"/>
      <protection locked="0"/>
    </xf>
    <xf numFmtId="6" fontId="11" fillId="8" borderId="0" xfId="0" applyNumberFormat="1" applyFont="1" applyFill="1" applyAlignment="1" applyProtection="1">
      <alignment horizontal="center"/>
      <protection locked="0"/>
    </xf>
    <xf numFmtId="0" fontId="7" fillId="8" borderId="0" xfId="0" applyFont="1" applyFill="1" applyAlignment="1" applyProtection="1">
      <alignment horizontal="left"/>
      <protection locked="0"/>
    </xf>
    <xf numFmtId="0" fontId="2" fillId="2" borderId="0" xfId="0" applyFont="1" applyFill="1"/>
    <xf numFmtId="0" fontId="9" fillId="5" borderId="6" xfId="3" applyFont="1" applyFill="1" applyBorder="1" applyAlignment="1">
      <alignment horizontal="left"/>
    </xf>
    <xf numFmtId="0" fontId="9" fillId="5" borderId="7" xfId="3" applyFont="1" applyFill="1" applyBorder="1" applyAlignment="1">
      <alignment horizontal="center"/>
    </xf>
    <xf numFmtId="0" fontId="9" fillId="5" borderId="8" xfId="3" applyFont="1" applyFill="1" applyBorder="1" applyAlignment="1">
      <alignment horizontal="center"/>
    </xf>
    <xf numFmtId="0" fontId="9" fillId="2" borderId="4" xfId="3" applyFont="1" applyFill="1" applyBorder="1" applyAlignment="1">
      <alignment horizontal="left"/>
    </xf>
    <xf numFmtId="0" fontId="4" fillId="5" borderId="6" xfId="0" applyFont="1" applyFill="1" applyBorder="1" applyAlignment="1">
      <alignment horizontal="center"/>
    </xf>
    <xf numFmtId="0" fontId="4" fillId="5" borderId="7" xfId="0" applyFont="1" applyFill="1" applyBorder="1" applyAlignment="1">
      <alignment horizontal="center"/>
    </xf>
    <xf numFmtId="0" fontId="4" fillId="5" borderId="8" xfId="0" applyFont="1" applyFill="1" applyBorder="1" applyAlignment="1">
      <alignment horizontal="center"/>
    </xf>
    <xf numFmtId="0" fontId="41" fillId="3" borderId="0" xfId="0" applyFont="1" applyFill="1" applyBorder="1" applyAlignment="1">
      <alignment horizontal="center" vertical="top" wrapText="1"/>
    </xf>
    <xf numFmtId="0" fontId="4" fillId="5" borderId="4" xfId="0" applyFont="1" applyFill="1" applyBorder="1" applyAlignment="1">
      <alignment horizontal="center"/>
    </xf>
    <xf numFmtId="0" fontId="4" fillId="5" borderId="0" xfId="0" applyFont="1" applyFill="1" applyBorder="1" applyAlignment="1">
      <alignment horizontal="center"/>
    </xf>
    <xf numFmtId="0" fontId="4" fillId="5" borderId="5" xfId="0" applyFont="1" applyFill="1" applyBorder="1" applyAlignment="1">
      <alignment horizontal="center"/>
    </xf>
    <xf numFmtId="0" fontId="0" fillId="8" borderId="10" xfId="0" applyFill="1" applyBorder="1" applyAlignment="1" applyProtection="1">
      <alignment horizontal="center"/>
      <protection locked="0"/>
    </xf>
    <xf numFmtId="0" fontId="0" fillId="8" borderId="11" xfId="0" applyFill="1" applyBorder="1" applyAlignment="1" applyProtection="1">
      <alignment horizontal="center"/>
      <protection locked="0"/>
    </xf>
    <xf numFmtId="0" fontId="0" fillId="8" borderId="0" xfId="0" applyFill="1" applyBorder="1" applyAlignment="1" applyProtection="1">
      <alignment horizontal="center"/>
      <protection locked="0"/>
    </xf>
    <xf numFmtId="5" fontId="0" fillId="8" borderId="0" xfId="0" applyNumberFormat="1" applyFill="1" applyBorder="1" applyAlignment="1" applyProtection="1">
      <alignment horizontal="left"/>
      <protection locked="0"/>
    </xf>
    <xf numFmtId="0" fontId="47" fillId="7" borderId="0" xfId="0" applyFont="1" applyFill="1" applyBorder="1" applyAlignment="1">
      <alignment horizontal="center" vertical="center"/>
    </xf>
    <xf numFmtId="0" fontId="0" fillId="8" borderId="0" xfId="0" applyFill="1" applyBorder="1" applyAlignment="1" applyProtection="1">
      <alignment horizontal="left"/>
      <protection locked="0"/>
    </xf>
    <xf numFmtId="0" fontId="40" fillId="5" borderId="44" xfId="0" applyFont="1" applyFill="1" applyBorder="1" applyAlignment="1">
      <alignment horizontal="center"/>
    </xf>
    <xf numFmtId="0" fontId="40" fillId="5" borderId="45" xfId="0" applyFont="1" applyFill="1" applyBorder="1" applyAlignment="1">
      <alignment horizontal="center"/>
    </xf>
    <xf numFmtId="0" fontId="40" fillId="5" borderId="46" xfId="0" applyFont="1" applyFill="1" applyBorder="1" applyAlignment="1">
      <alignment horizontal="center"/>
    </xf>
    <xf numFmtId="9" fontId="0" fillId="8" borderId="0" xfId="0" applyNumberFormat="1" applyFill="1" applyBorder="1" applyAlignment="1" applyProtection="1">
      <alignment horizontal="center" vertical="top"/>
      <protection locked="0"/>
    </xf>
    <xf numFmtId="0" fontId="0" fillId="2" borderId="0" xfId="0" applyFill="1" applyBorder="1" applyAlignment="1">
      <alignment horizontal="center" vertical="top"/>
    </xf>
    <xf numFmtId="9" fontId="0" fillId="2" borderId="0" xfId="0" applyNumberFormat="1" applyFill="1" applyBorder="1" applyAlignment="1">
      <alignment horizontal="center" vertical="top"/>
    </xf>
    <xf numFmtId="0" fontId="0" fillId="2" borderId="0" xfId="0" applyFill="1" applyBorder="1" applyAlignment="1" applyProtection="1">
      <alignment horizontal="center"/>
      <protection locked="0"/>
    </xf>
    <xf numFmtId="9" fontId="0" fillId="8" borderId="0" xfId="2" applyFont="1" applyFill="1" applyBorder="1" applyAlignment="1" applyProtection="1">
      <alignment horizontal="center"/>
      <protection locked="0"/>
    </xf>
    <xf numFmtId="9" fontId="0" fillId="5" borderId="24" xfId="0" applyNumberFormat="1" applyFill="1" applyBorder="1" applyAlignment="1">
      <alignment horizontal="center"/>
    </xf>
    <xf numFmtId="9" fontId="0" fillId="5" borderId="31" xfId="0" applyNumberFormat="1" applyFill="1" applyBorder="1" applyAlignment="1">
      <alignment horizontal="center"/>
    </xf>
    <xf numFmtId="0" fontId="38" fillId="2" borderId="4" xfId="0" applyFont="1" applyFill="1" applyBorder="1" applyAlignment="1">
      <alignment horizontal="center"/>
    </xf>
    <xf numFmtId="0" fontId="38" fillId="2" borderId="5" xfId="0" applyFont="1" applyFill="1" applyBorder="1" applyAlignment="1">
      <alignment horizontal="center"/>
    </xf>
    <xf numFmtId="0" fontId="39" fillId="2" borderId="9" xfId="0" applyFont="1" applyFill="1" applyBorder="1" applyAlignment="1">
      <alignment horizontal="center"/>
    </xf>
    <xf numFmtId="0" fontId="39" fillId="2" borderId="11" xfId="0" applyFont="1" applyFill="1" applyBorder="1" applyAlignment="1">
      <alignment horizontal="center"/>
    </xf>
    <xf numFmtId="9" fontId="0" fillId="2" borderId="0" xfId="0" applyNumberFormat="1" applyFill="1" applyAlignment="1">
      <alignment horizontal="center"/>
    </xf>
    <xf numFmtId="9" fontId="0" fillId="2" borderId="36" xfId="0" applyNumberFormat="1" applyFill="1" applyBorder="1" applyAlignment="1">
      <alignment horizontal="center"/>
    </xf>
    <xf numFmtId="9" fontId="0" fillId="8" borderId="0" xfId="0" applyNumberFormat="1" applyFill="1" applyAlignment="1" applyProtection="1">
      <alignment horizontal="center"/>
      <protection locked="0"/>
    </xf>
    <xf numFmtId="9" fontId="0" fillId="8" borderId="36" xfId="0" applyNumberFormat="1" applyFill="1" applyBorder="1" applyAlignment="1" applyProtection="1">
      <alignment horizontal="center"/>
      <protection locked="0"/>
    </xf>
    <xf numFmtId="9" fontId="4" fillId="5" borderId="24" xfId="0" applyNumberFormat="1" applyFont="1" applyFill="1" applyBorder="1" applyAlignment="1">
      <alignment horizontal="center"/>
    </xf>
    <xf numFmtId="9" fontId="4" fillId="5" borderId="31" xfId="0" applyNumberFormat="1" applyFont="1" applyFill="1" applyBorder="1" applyAlignment="1">
      <alignment horizontal="center"/>
    </xf>
    <xf numFmtId="6" fontId="0" fillId="8" borderId="0" xfId="0" applyNumberFormat="1" applyFill="1" applyAlignment="1" applyProtection="1">
      <alignment horizontal="center"/>
      <protection locked="0"/>
    </xf>
    <xf numFmtId="6" fontId="0" fillId="8" borderId="36" xfId="0" applyNumberFormat="1" applyFill="1" applyBorder="1" applyAlignment="1" applyProtection="1">
      <alignment horizontal="center"/>
      <protection locked="0"/>
    </xf>
    <xf numFmtId="0" fontId="37" fillId="2" borderId="6" xfId="0" applyFont="1" applyFill="1" applyBorder="1" applyAlignment="1">
      <alignment horizontal="center"/>
    </xf>
    <xf numFmtId="0" fontId="37" fillId="2" borderId="8" xfId="0" applyFont="1" applyFill="1" applyBorder="1" applyAlignment="1">
      <alignment horizontal="center"/>
    </xf>
    <xf numFmtId="0" fontId="4" fillId="2" borderId="7" xfId="0" applyFont="1" applyFill="1" applyBorder="1" applyAlignment="1">
      <alignment horizontal="center"/>
    </xf>
    <xf numFmtId="0" fontId="0" fillId="2" borderId="0" xfId="0" applyFill="1" applyBorder="1" applyAlignment="1">
      <alignment horizontal="center"/>
    </xf>
    <xf numFmtId="0" fontId="4" fillId="2" borderId="0" xfId="0" applyFont="1" applyFill="1" applyBorder="1" applyAlignment="1">
      <alignment horizontal="center"/>
    </xf>
    <xf numFmtId="9" fontId="0" fillId="5" borderId="7" xfId="0" applyNumberFormat="1" applyFill="1" applyBorder="1" applyAlignment="1">
      <alignment horizontal="center"/>
    </xf>
    <xf numFmtId="9" fontId="0" fillId="5" borderId="33" xfId="0" applyNumberFormat="1" applyFill="1" applyBorder="1" applyAlignment="1">
      <alignment horizontal="center"/>
    </xf>
    <xf numFmtId="0" fontId="4" fillId="5" borderId="1" xfId="0" applyFont="1" applyFill="1" applyBorder="1" applyAlignment="1">
      <alignment horizontal="left"/>
    </xf>
    <xf numFmtId="0" fontId="4" fillId="5" borderId="2" xfId="0" applyFont="1" applyFill="1" applyBorder="1" applyAlignment="1">
      <alignment horizontal="left"/>
    </xf>
    <xf numFmtId="0" fontId="4" fillId="5" borderId="3" xfId="0" applyFont="1" applyFill="1" applyBorder="1" applyAlignment="1">
      <alignment horizontal="left"/>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35" fillId="3" borderId="0" xfId="0" applyFont="1" applyFill="1" applyBorder="1" applyAlignment="1">
      <alignment horizontal="center" vertical="center"/>
    </xf>
    <xf numFmtId="0" fontId="4" fillId="4" borderId="1" xfId="0" applyFont="1" applyFill="1" applyBorder="1" applyAlignment="1">
      <alignment horizont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5" borderId="6" xfId="0" applyFont="1" applyFill="1" applyBorder="1" applyAlignment="1">
      <alignment horizontal="center" vertical="center"/>
    </xf>
    <xf numFmtId="0" fontId="4" fillId="5" borderId="8" xfId="0" applyFont="1" applyFill="1" applyBorder="1" applyAlignment="1">
      <alignment horizontal="center" vertical="center"/>
    </xf>
    <xf numFmtId="0" fontId="47" fillId="7" borderId="0" xfId="3" applyFont="1" applyFill="1" applyBorder="1" applyAlignment="1">
      <alignment horizontal="center" vertical="center"/>
    </xf>
    <xf numFmtId="0" fontId="9" fillId="4" borderId="0" xfId="3" applyFont="1" applyFill="1" applyAlignment="1">
      <alignment horizontal="center"/>
    </xf>
    <xf numFmtId="0" fontId="0" fillId="2" borderId="0" xfId="0" applyFont="1" applyFill="1" applyAlignment="1">
      <alignment horizontal="center"/>
    </xf>
    <xf numFmtId="0" fontId="0" fillId="2" borderId="4" xfId="0" applyFont="1" applyFill="1" applyBorder="1" applyAlignment="1">
      <alignment horizontal="left" indent="3"/>
    </xf>
    <xf numFmtId="0" fontId="0" fillId="2" borderId="0" xfId="0" applyFont="1" applyFill="1" applyBorder="1" applyAlignment="1">
      <alignment horizontal="left" indent="3"/>
    </xf>
    <xf numFmtId="0" fontId="25" fillId="11" borderId="6" xfId="4" applyFont="1" applyFill="1" applyBorder="1" applyAlignment="1">
      <alignment horizontal="center" vertical="center"/>
    </xf>
    <xf numFmtId="0" fontId="25" fillId="11" borderId="7" xfId="4" applyFont="1" applyFill="1" applyBorder="1" applyAlignment="1">
      <alignment horizontal="center" vertical="center"/>
    </xf>
    <xf numFmtId="0" fontId="25" fillId="11" borderId="8" xfId="4" applyFont="1" applyFill="1" applyBorder="1" applyAlignment="1">
      <alignment horizontal="center" vertical="center"/>
    </xf>
    <xf numFmtId="0" fontId="25" fillId="11" borderId="9" xfId="4" applyFont="1" applyFill="1" applyBorder="1" applyAlignment="1">
      <alignment horizontal="center" vertical="center"/>
    </xf>
    <xf numFmtId="0" fontId="25" fillId="11" borderId="10" xfId="4" applyFont="1" applyFill="1" applyBorder="1" applyAlignment="1">
      <alignment horizontal="center" vertical="center"/>
    </xf>
    <xf numFmtId="0" fontId="25" fillId="11" borderId="11" xfId="4" applyFont="1" applyFill="1" applyBorder="1" applyAlignment="1">
      <alignment horizontal="center" vertical="center"/>
    </xf>
    <xf numFmtId="0" fontId="0" fillId="5" borderId="7" xfId="0" applyFont="1" applyFill="1" applyBorder="1" applyAlignment="1">
      <alignment horizontal="center"/>
    </xf>
    <xf numFmtId="0" fontId="0" fillId="5" borderId="8" xfId="0" applyFont="1" applyFill="1" applyBorder="1" applyAlignment="1">
      <alignment horizontal="center"/>
    </xf>
    <xf numFmtId="0" fontId="4" fillId="2" borderId="6"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8" borderId="6" xfId="0" applyFont="1" applyFill="1" applyBorder="1" applyAlignment="1" applyProtection="1">
      <alignment horizontal="center" vertical="center"/>
      <protection locked="0"/>
    </xf>
    <xf numFmtId="0" fontId="4" fillId="8" borderId="7" xfId="0" applyFont="1" applyFill="1" applyBorder="1" applyAlignment="1" applyProtection="1">
      <alignment horizontal="center" vertical="center"/>
      <protection locked="0"/>
    </xf>
    <xf numFmtId="0" fontId="4" fillId="8" borderId="8" xfId="0" applyFont="1" applyFill="1" applyBorder="1" applyAlignment="1" applyProtection="1">
      <alignment horizontal="center" vertical="center"/>
      <protection locked="0"/>
    </xf>
    <xf numFmtId="0" fontId="4" fillId="8" borderId="9" xfId="0" applyFont="1" applyFill="1" applyBorder="1" applyAlignment="1" applyProtection="1">
      <alignment horizontal="center" vertical="center"/>
      <protection locked="0"/>
    </xf>
    <xf numFmtId="0" fontId="4" fillId="8" borderId="10" xfId="0" applyFont="1" applyFill="1" applyBorder="1" applyAlignment="1" applyProtection="1">
      <alignment horizontal="center" vertical="center"/>
      <protection locked="0"/>
    </xf>
    <xf numFmtId="0" fontId="4" fillId="8" borderId="11" xfId="0" applyFont="1" applyFill="1" applyBorder="1" applyAlignment="1" applyProtection="1">
      <alignment horizontal="center" vertical="center"/>
      <protection locked="0"/>
    </xf>
    <xf numFmtId="0" fontId="44" fillId="2" borderId="0" xfId="3" applyFont="1" applyFill="1" applyAlignment="1">
      <alignment horizontal="center"/>
    </xf>
    <xf numFmtId="0" fontId="33" fillId="5" borderId="57" xfId="3" applyFont="1" applyFill="1" applyBorder="1" applyAlignment="1">
      <alignment horizontal="center"/>
    </xf>
    <xf numFmtId="0" fontId="33" fillId="5" borderId="58" xfId="3" applyFont="1" applyFill="1" applyBorder="1" applyAlignment="1">
      <alignment horizontal="center"/>
    </xf>
    <xf numFmtId="0" fontId="33" fillId="5" borderId="59" xfId="3" applyFont="1" applyFill="1" applyBorder="1" applyAlignment="1">
      <alignment horizontal="center"/>
    </xf>
    <xf numFmtId="0" fontId="4" fillId="5" borderId="6" xfId="0" applyFont="1" applyFill="1" applyBorder="1" applyAlignment="1">
      <alignment horizontal="center" vertical="top"/>
    </xf>
    <xf numFmtId="0" fontId="4" fillId="5" borderId="7" xfId="0" applyFont="1" applyFill="1" applyBorder="1" applyAlignment="1">
      <alignment horizontal="center" vertical="top"/>
    </xf>
    <xf numFmtId="0" fontId="4" fillId="5" borderId="8" xfId="0" applyFont="1" applyFill="1" applyBorder="1" applyAlignment="1">
      <alignment horizontal="center" vertical="top"/>
    </xf>
    <xf numFmtId="0" fontId="4" fillId="0" borderId="16" xfId="0" applyFont="1" applyBorder="1" applyAlignment="1">
      <alignment horizontal="center"/>
    </xf>
    <xf numFmtId="0" fontId="4" fillId="0" borderId="17" xfId="0" applyFont="1" applyBorder="1" applyAlignment="1">
      <alignment horizontal="center"/>
    </xf>
  </cellXfs>
  <cellStyles count="6">
    <cellStyle name="Comma" xfId="1" builtinId="3"/>
    <cellStyle name="Normal" xfId="0" builtinId="0"/>
    <cellStyle name="Normal 10" xfId="3" xr:uid="{DB773612-956E-4D55-B9BA-55D18309D32E}"/>
    <cellStyle name="Normal 2 5" xfId="4" xr:uid="{F0A18271-82FC-429E-AD03-A628B55B4AC5}"/>
    <cellStyle name="Percent" xfId="2" builtinId="5"/>
    <cellStyle name="Percent 2 2" xfId="5" xr:uid="{0D1931E9-3D14-4CFF-A045-FAB371D74253}"/>
  </cellStyles>
  <dxfs count="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99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r>
              <a:rPr lang="en-NZ"/>
              <a:t>Full Purchase - Purchase Price, Loan Requirement, LVR %, DSR %</a:t>
            </a:r>
          </a:p>
        </c:rich>
      </c:tx>
      <c:overlay val="0"/>
      <c:spPr>
        <a:solidFill>
          <a:srgbClr val="FFE48F"/>
        </a:solidFill>
        <a:ln>
          <a:noFill/>
        </a:ln>
        <a:effectLst/>
      </c:spPr>
      <c:txPr>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tx>
            <c:v>Estimated Purchase Price</c:v>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val>
            <c:numRef>
              <c:f>'AHM - Shared Equity'!$E$98:$T$98</c:f>
              <c:numCache>
                <c:formatCode>"$"#,##0_);\("$"#,##0\)</c:formatCode>
                <c:ptCount val="16"/>
                <c:pt idx="0">
                  <c:v>500000</c:v>
                </c:pt>
                <c:pt idx="1">
                  <c:v>515000</c:v>
                </c:pt>
                <c:pt idx="2">
                  <c:v>530450</c:v>
                </c:pt>
                <c:pt idx="3">
                  <c:v>546363.5</c:v>
                </c:pt>
                <c:pt idx="4">
                  <c:v>562754.40500000003</c:v>
                </c:pt>
                <c:pt idx="5">
                  <c:v>579637.03714999999</c:v>
                </c:pt>
                <c:pt idx="6">
                  <c:v>597026.14826449996</c:v>
                </c:pt>
                <c:pt idx="7">
                  <c:v>614936.93271243502</c:v>
                </c:pt>
                <c:pt idx="8">
                  <c:v>633385.04069380811</c:v>
                </c:pt>
                <c:pt idx="9">
                  <c:v>652386.59191462235</c:v>
                </c:pt>
                <c:pt idx="10">
                  <c:v>671958.18967206101</c:v>
                </c:pt>
                <c:pt idx="11">
                  <c:v>692116.93536222284</c:v>
                </c:pt>
                <c:pt idx="12">
                  <c:v>712880.44342308957</c:v>
                </c:pt>
                <c:pt idx="13">
                  <c:v>734266.85672578227</c:v>
                </c:pt>
                <c:pt idx="14">
                  <c:v>756294.86242755572</c:v>
                </c:pt>
                <c:pt idx="15">
                  <c:v>778983.70830038236</c:v>
                </c:pt>
              </c:numCache>
            </c:numRef>
          </c:val>
          <c:extLst>
            <c:ext xmlns:c16="http://schemas.microsoft.com/office/drawing/2014/chart" uri="{C3380CC4-5D6E-409C-BE32-E72D297353CC}">
              <c16:uniqueId val="{00000000-E5D5-405B-83CC-E9BECFDEA837}"/>
            </c:ext>
          </c:extLst>
        </c:ser>
        <c:ser>
          <c:idx val="1"/>
          <c:order val="1"/>
          <c:tx>
            <c:v>Refinance Loan Requirement </c:v>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val>
            <c:numRef>
              <c:f>'AHM - Shared Equity'!$F$106:$T$106</c:f>
              <c:numCache>
                <c:formatCode>"$"#,##0_);\("$"#,##0\)</c:formatCode>
                <c:ptCount val="15"/>
                <c:pt idx="0">
                  <c:v>454321.11704977159</c:v>
                </c:pt>
                <c:pt idx="1">
                  <c:v>453577.85120977397</c:v>
                </c:pt>
                <c:pt idx="2">
                  <c:v>452763.54574528889</c:v>
                </c:pt>
                <c:pt idx="3">
                  <c:v>451871.00940709619</c:v>
                </c:pt>
                <c:pt idx="4">
                  <c:v>450892.47868057055</c:v>
                </c:pt>
                <c:pt idx="5">
                  <c:v>449819.57752924098</c:v>
                </c:pt>
                <c:pt idx="6">
                  <c:v>448643.27447151748</c:v>
                </c:pt>
                <c:pt idx="7">
                  <c:v>447353.83681906114</c:v>
                </c:pt>
                <c:pt idx="8">
                  <c:v>445940.7818944031</c:v>
                </c:pt>
                <c:pt idx="9">
                  <c:v>444392.82503386005</c:v>
                </c:pt>
                <c:pt idx="10">
                  <c:v>442697.82416951132</c:v>
                </c:pt>
                <c:pt idx="11">
                  <c:v>440842.72077094653</c:v>
                </c:pt>
                <c:pt idx="12">
                  <c:v>438813.47691361612</c:v>
                </c:pt>
                <c:pt idx="13">
                  <c:v>436595.00822586624</c:v>
                </c:pt>
                <c:pt idx="14">
                  <c:v>442421.11245106335</c:v>
                </c:pt>
              </c:numCache>
            </c:numRef>
          </c:val>
          <c:extLst>
            <c:ext xmlns:c16="http://schemas.microsoft.com/office/drawing/2014/chart" uri="{C3380CC4-5D6E-409C-BE32-E72D297353CC}">
              <c16:uniqueId val="{00000001-E5D5-405B-83CC-E9BECFDEA837}"/>
            </c:ext>
          </c:extLst>
        </c:ser>
        <c:dLbls>
          <c:showLegendKey val="0"/>
          <c:showVal val="0"/>
          <c:showCatName val="0"/>
          <c:showSerName val="0"/>
          <c:showPercent val="0"/>
          <c:showBubbleSize val="0"/>
        </c:dLbls>
        <c:gapWidth val="100"/>
        <c:axId val="316938152"/>
        <c:axId val="316938480"/>
      </c:barChart>
      <c:lineChart>
        <c:grouping val="standard"/>
        <c:varyColors val="0"/>
        <c:ser>
          <c:idx val="2"/>
          <c:order val="2"/>
          <c:tx>
            <c:v>LVR</c:v>
          </c:tx>
          <c:spPr>
            <a:ln w="31750" cap="rnd">
              <a:solidFill>
                <a:srgbClr val="00B0F0"/>
              </a:solidFill>
              <a:round/>
            </a:ln>
            <a:effectLst/>
          </c:spPr>
          <c:marker>
            <c:symbol val="none"/>
          </c:marker>
          <c:val>
            <c:numRef>
              <c:f>'AHM - Shared Equity'!$F$121:$T$121</c:f>
              <c:numCache>
                <c:formatCode>0%</c:formatCode>
                <c:ptCount val="15"/>
                <c:pt idx="0">
                  <c:v>0.88217692631023614</c:v>
                </c:pt>
                <c:pt idx="1">
                  <c:v>0.85508125404802338</c:v>
                </c:pt>
                <c:pt idx="2">
                  <c:v>0.82868556509592772</c:v>
                </c:pt>
                <c:pt idx="3">
                  <c:v>0.80296307837358671</c:v>
                </c:pt>
                <c:pt idx="4">
                  <c:v>0.77788762584521909</c:v>
                </c:pt>
                <c:pt idx="5">
                  <c:v>0.75343362905766365</c:v>
                </c:pt>
                <c:pt idx="6">
                  <c:v>0.72957607618815445</c:v>
                </c:pt>
                <c:pt idx="7">
                  <c:v>0.70629049958147272</c:v>
                </c:pt>
                <c:pt idx="8">
                  <c:v>0.68355295375654079</c:v>
                </c:pt>
                <c:pt idx="9">
                  <c:v>0.66133999386292053</c:v>
                </c:pt>
                <c:pt idx="10">
                  <c:v>0.6396286545680655</c:v>
                </c:pt>
                <c:pt idx="11">
                  <c:v>0.61839642935654138</c:v>
                </c:pt>
                <c:pt idx="12">
                  <c:v>0.59762125022278445</c:v>
                </c:pt>
                <c:pt idx="13">
                  <c:v>0.57728146773929323</c:v>
                </c:pt>
                <c:pt idx="14">
                  <c:v>0.5679465536145234</c:v>
                </c:pt>
              </c:numCache>
            </c:numRef>
          </c:val>
          <c:smooth val="0"/>
          <c:extLst>
            <c:ext xmlns:c16="http://schemas.microsoft.com/office/drawing/2014/chart" uri="{C3380CC4-5D6E-409C-BE32-E72D297353CC}">
              <c16:uniqueId val="{00000002-E5D5-405B-83CC-E9BECFDEA837}"/>
            </c:ext>
          </c:extLst>
        </c:ser>
        <c:ser>
          <c:idx val="3"/>
          <c:order val="3"/>
          <c:tx>
            <c:v>DSR %</c:v>
          </c:tx>
          <c:spPr>
            <a:ln w="31750" cap="rnd">
              <a:solidFill>
                <a:srgbClr val="FFC000"/>
              </a:solidFill>
              <a:round/>
            </a:ln>
            <a:effectLst/>
          </c:spPr>
          <c:marker>
            <c:symbol val="none"/>
          </c:marker>
          <c:val>
            <c:numRef>
              <c:f>'AHM - Shared Equity'!$F$122:$T$122</c:f>
              <c:numCache>
                <c:formatCode>0%</c:formatCode>
                <c:ptCount val="15"/>
                <c:pt idx="0">
                  <c:v>0.37961062939816259</c:v>
                </c:pt>
                <c:pt idx="1">
                  <c:v>0.3725621612684813</c:v>
                </c:pt>
                <c:pt idx="2">
                  <c:v>0.36561240790319555</c:v>
                </c:pt>
                <c:pt idx="3">
                  <c:v>0.35875623095734505</c:v>
                </c:pt>
                <c:pt idx="4">
                  <c:v>0.35198844412155822</c:v>
                </c:pt>
                <c:pt idx="5">
                  <c:v>0.34530380771633462</c:v>
                </c:pt>
                <c:pt idx="6">
                  <c:v>0.33869702312642919</c:v>
                </c:pt>
                <c:pt idx="7">
                  <c:v>0.33216272706738026</c:v>
                </c:pt>
                <c:pt idx="8">
                  <c:v>0.32569548567591861</c:v>
                </c:pt>
                <c:pt idx="9">
                  <c:v>0.31928978841567063</c:v>
                </c:pt>
                <c:pt idx="10">
                  <c:v>0.31294004178924173</c:v>
                </c:pt>
                <c:pt idx="11">
                  <c:v>0.30664056284741259</c:v>
                </c:pt>
                <c:pt idx="12">
                  <c:v>0.30038557248582187</c:v>
                </c:pt>
                <c:pt idx="13">
                  <c:v>0.29416918851912804</c:v>
                </c:pt>
                <c:pt idx="14">
                  <c:v>0.29255847657671258</c:v>
                </c:pt>
              </c:numCache>
            </c:numRef>
          </c:val>
          <c:smooth val="0"/>
          <c:extLst>
            <c:ext xmlns:c16="http://schemas.microsoft.com/office/drawing/2014/chart" uri="{C3380CC4-5D6E-409C-BE32-E72D297353CC}">
              <c16:uniqueId val="{00000003-E5D5-405B-83CC-E9BECFDEA837}"/>
            </c:ext>
          </c:extLst>
        </c:ser>
        <c:dLbls>
          <c:showLegendKey val="0"/>
          <c:showVal val="0"/>
          <c:showCatName val="0"/>
          <c:showSerName val="0"/>
          <c:showPercent val="0"/>
          <c:showBubbleSize val="0"/>
        </c:dLbls>
        <c:marker val="1"/>
        <c:smooth val="0"/>
        <c:axId val="413670992"/>
        <c:axId val="413668696"/>
      </c:lineChart>
      <c:catAx>
        <c:axId val="316938152"/>
        <c:scaling>
          <c:orientation val="minMax"/>
        </c:scaling>
        <c:delete val="0"/>
        <c:axPos val="b"/>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NZ" sz="1400"/>
                  <a:t>Year</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dk1"/>
                </a:solidFill>
                <a:latin typeface="+mn-lt"/>
                <a:ea typeface="+mn-ea"/>
                <a:cs typeface="+mn-cs"/>
              </a:defRPr>
            </a:pPr>
            <a:endParaRPr lang="en-US"/>
          </a:p>
        </c:txPr>
        <c:crossAx val="316938480"/>
        <c:crosses val="autoZero"/>
        <c:auto val="1"/>
        <c:lblAlgn val="ctr"/>
        <c:lblOffset val="100"/>
        <c:noMultiLvlLbl val="0"/>
      </c:catAx>
      <c:valAx>
        <c:axId val="31693848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dk1"/>
                    </a:solidFill>
                    <a:latin typeface="+mn-lt"/>
                    <a:ea typeface="+mn-ea"/>
                    <a:cs typeface="+mn-cs"/>
                  </a:defRPr>
                </a:pPr>
                <a:r>
                  <a:rPr lang="en-NZ" sz="1200"/>
                  <a:t>Value ($)</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dk1"/>
                  </a:solidFill>
                  <a:latin typeface="+mn-lt"/>
                  <a:ea typeface="+mn-ea"/>
                  <a:cs typeface="+mn-cs"/>
                </a:defRPr>
              </a:pPr>
              <a:endParaRPr lang="en-US"/>
            </a:p>
          </c:txPr>
        </c:title>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316938152"/>
        <c:crosses val="autoZero"/>
        <c:crossBetween val="between"/>
      </c:valAx>
      <c:valAx>
        <c:axId val="413668696"/>
        <c:scaling>
          <c:orientation val="minMax"/>
        </c:scaling>
        <c:delete val="0"/>
        <c:axPos val="r"/>
        <c:title>
          <c:tx>
            <c:rich>
              <a:bodyPr rot="0" spcFirstLastPara="1" vertOverflow="ellipsis" wrap="square" anchor="ctr" anchorCtr="1"/>
              <a:lstStyle/>
              <a:p>
                <a:pPr>
                  <a:defRPr sz="900" b="1" i="0" u="none" strike="noStrike" kern="1200" baseline="0">
                    <a:solidFill>
                      <a:schemeClr val="dk1"/>
                    </a:solidFill>
                    <a:latin typeface="+mn-lt"/>
                    <a:ea typeface="+mn-ea"/>
                    <a:cs typeface="+mn-cs"/>
                  </a:defRPr>
                </a:pPr>
                <a:r>
                  <a:rPr lang="en-NZ" sz="1200"/>
                  <a:t> %</a:t>
                </a:r>
              </a:p>
            </c:rich>
          </c:tx>
          <c:overlay val="0"/>
          <c:spPr>
            <a:noFill/>
            <a:ln>
              <a:noFill/>
            </a:ln>
            <a:effectLst/>
          </c:spPr>
          <c:txPr>
            <a:bodyPr rot="0" spcFirstLastPara="1" vertOverflow="ellipsis" wrap="square" anchor="ctr" anchorCtr="1"/>
            <a:lstStyle/>
            <a:p>
              <a:pPr>
                <a:defRPr sz="900" b="1" i="0" u="none" strike="noStrike" kern="1200" baseline="0">
                  <a:solidFill>
                    <a:schemeClr val="dk1"/>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dk1"/>
                </a:solidFill>
                <a:latin typeface="+mn-lt"/>
                <a:ea typeface="+mn-ea"/>
                <a:cs typeface="+mn-cs"/>
              </a:defRPr>
            </a:pPr>
            <a:endParaRPr lang="en-US"/>
          </a:p>
        </c:txPr>
        <c:crossAx val="413670992"/>
        <c:crosses val="max"/>
        <c:crossBetween val="between"/>
      </c:valAx>
      <c:catAx>
        <c:axId val="413670992"/>
        <c:scaling>
          <c:orientation val="minMax"/>
        </c:scaling>
        <c:delete val="1"/>
        <c:axPos val="b"/>
        <c:majorTickMark val="out"/>
        <c:minorTickMark val="none"/>
        <c:tickLblPos val="nextTo"/>
        <c:crossAx val="413668696"/>
        <c:crosses val="autoZero"/>
        <c:auto val="1"/>
        <c:lblAlgn val="ctr"/>
        <c:lblOffset val="100"/>
        <c:noMultiLvlLbl val="0"/>
      </c:catAx>
      <c:spPr>
        <a:noFill/>
        <a:ln>
          <a:noFill/>
        </a:ln>
        <a:effectLst/>
      </c:spPr>
    </c:plotArea>
    <c:legend>
      <c:legendPos val="b"/>
      <c:legendEntry>
        <c:idx val="2"/>
        <c:txPr>
          <a:bodyPr rot="0" spcFirstLastPara="1" vertOverflow="ellipsis" vert="horz" wrap="square" anchor="ctr" anchorCtr="1"/>
          <a:lstStyle/>
          <a:p>
            <a:pPr>
              <a:defRPr sz="1400" b="0" i="0" u="none" strike="noStrike" kern="1200" baseline="0">
                <a:solidFill>
                  <a:schemeClr val="dk1"/>
                </a:solidFill>
                <a:latin typeface="+mn-lt"/>
                <a:ea typeface="+mn-ea"/>
                <a:cs typeface="+mn-cs"/>
              </a:defRPr>
            </a:pPr>
            <a:endParaRPr lang="en-US"/>
          </a:p>
        </c:txPr>
      </c:legendEntry>
      <c:legendEntry>
        <c:idx val="3"/>
        <c:txPr>
          <a:bodyPr rot="0" spcFirstLastPara="1" vertOverflow="ellipsis" vert="horz" wrap="square" anchor="ctr" anchorCtr="1"/>
          <a:lstStyle/>
          <a:p>
            <a:pPr>
              <a:defRPr sz="1400" b="0" i="0" u="none" strike="noStrike" kern="1200" baseline="0">
                <a:solidFill>
                  <a:schemeClr val="dk1"/>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1600" b="0" i="0" u="none" strike="noStrike" kern="1200" baseline="0">
              <a:solidFill>
                <a:schemeClr val="dk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sz="2000" b="1"/>
              <a:t>Monthly Project</a:t>
            </a:r>
            <a:r>
              <a:rPr lang="en-NZ" sz="2000" b="1" baseline="0"/>
              <a:t> Cashflow</a:t>
            </a:r>
          </a:p>
          <a:p>
            <a:pPr>
              <a:defRPr/>
            </a:pPr>
            <a:r>
              <a:rPr lang="en-NZ" sz="1400" b="1" baseline="0"/>
              <a:t>Development, Construction and Sale periods </a:t>
            </a:r>
          </a:p>
        </c:rich>
      </c:tx>
      <c:layout>
        <c:manualLayout>
          <c:xMode val="edge"/>
          <c:yMode val="edge"/>
          <c:x val="0.42342918460077494"/>
          <c:y val="1.91489329621489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093054101744661"/>
          <c:y val="0.15347598202807242"/>
          <c:w val="0.8573678820599292"/>
          <c:h val="0.74312476723196252"/>
        </c:manualLayout>
      </c:layout>
      <c:barChart>
        <c:barDir val="col"/>
        <c:grouping val="clustered"/>
        <c:varyColors val="0"/>
        <c:ser>
          <c:idx val="0"/>
          <c:order val="0"/>
          <c:tx>
            <c:strRef>
              <c:f>'Detailed Feasibility'!$B$152</c:f>
              <c:strCache>
                <c:ptCount val="1"/>
                <c:pt idx="0">
                  <c:v>Total Construction and Development Costs</c:v>
                </c:pt>
              </c:strCache>
            </c:strRef>
          </c:tx>
          <c:spPr>
            <a:solidFill>
              <a:srgbClr val="FF0000"/>
            </a:solidFill>
            <a:ln>
              <a:solidFill>
                <a:srgbClr val="FF0000"/>
              </a:solidFill>
            </a:ln>
            <a:effectLst/>
          </c:spPr>
          <c:invertIfNegative val="0"/>
          <c:val>
            <c:numRef>
              <c:f>'Detailed Feasibility'!$F$152:$BM$152</c:f>
              <c:numCache>
                <c:formatCode>"$"#,##0;[Red]\("$"#,##0\)</c:formatCode>
                <c:ptCount val="60"/>
                <c:pt idx="0">
                  <c:v>-1010000</c:v>
                </c:pt>
                <c:pt idx="1">
                  <c:v>0</c:v>
                </c:pt>
                <c:pt idx="2">
                  <c:v>0</c:v>
                </c:pt>
                <c:pt idx="3">
                  <c:v>0</c:v>
                </c:pt>
                <c:pt idx="4">
                  <c:v>-55370</c:v>
                </c:pt>
                <c:pt idx="5">
                  <c:v>-84941.42857142858</c:v>
                </c:pt>
                <c:pt idx="6">
                  <c:v>-84941.42857142858</c:v>
                </c:pt>
                <c:pt idx="7">
                  <c:v>-84941.42857142858</c:v>
                </c:pt>
                <c:pt idx="8">
                  <c:v>-84941.42857142858</c:v>
                </c:pt>
                <c:pt idx="9">
                  <c:v>-84941.42857142858</c:v>
                </c:pt>
                <c:pt idx="10">
                  <c:v>-84941.42857142858</c:v>
                </c:pt>
                <c:pt idx="11">
                  <c:v>-84941.42857142858</c:v>
                </c:pt>
                <c:pt idx="12">
                  <c:v>-84941.42857142858</c:v>
                </c:pt>
                <c:pt idx="13">
                  <c:v>-514274.76190476184</c:v>
                </c:pt>
                <c:pt idx="14">
                  <c:v>-84941.42857142858</c:v>
                </c:pt>
                <c:pt idx="15">
                  <c:v>-84941.42857142858</c:v>
                </c:pt>
                <c:pt idx="16">
                  <c:v>-514274.76190476184</c:v>
                </c:pt>
                <c:pt idx="17">
                  <c:v>-694274.76190476189</c:v>
                </c:pt>
                <c:pt idx="18">
                  <c:v>-264941.42857142858</c:v>
                </c:pt>
                <c:pt idx="19">
                  <c:v>0</c:v>
                </c:pt>
                <c:pt idx="20">
                  <c:v>-555833.33333333326</c:v>
                </c:pt>
                <c:pt idx="21">
                  <c:v>0</c:v>
                </c:pt>
                <c:pt idx="22">
                  <c:v>0</c:v>
                </c:pt>
                <c:pt idx="23">
                  <c:v>-1521833.3333333333</c:v>
                </c:pt>
                <c:pt idx="24">
                  <c:v>-555833.33333333326</c:v>
                </c:pt>
                <c:pt idx="25">
                  <c:v>0</c:v>
                </c:pt>
                <c:pt idx="26">
                  <c:v>-966000</c:v>
                </c:pt>
                <c:pt idx="27">
                  <c:v>-966000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0473-4F5E-AA4F-042F67D73DA7}"/>
            </c:ext>
          </c:extLst>
        </c:ser>
        <c:ser>
          <c:idx val="2"/>
          <c:order val="1"/>
          <c:tx>
            <c:strRef>
              <c:f>'Detailed Feasibility'!$B$125</c:f>
              <c:strCache>
                <c:ptCount val="1"/>
                <c:pt idx="0">
                  <c:v>Total Sales Income </c:v>
                </c:pt>
              </c:strCache>
            </c:strRef>
          </c:tx>
          <c:spPr>
            <a:solidFill>
              <a:srgbClr val="00B050"/>
            </a:solidFill>
            <a:ln>
              <a:solidFill>
                <a:srgbClr val="00B050"/>
              </a:solidFill>
            </a:ln>
            <a:effectLst/>
          </c:spPr>
          <c:invertIfNegative val="0"/>
          <c:val>
            <c:numRef>
              <c:f>'Detailed Feasibility'!$F$125:$BM$125</c:f>
              <c:numCache>
                <c:formatCode>"$"#,##0;[Red]\("$"#,##0\)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1473043.4782608699</c:v>
                </c:pt>
                <c:pt idx="19">
                  <c:v>0</c:v>
                </c:pt>
                <c:pt idx="20">
                  <c:v>0</c:v>
                </c:pt>
                <c:pt idx="21">
                  <c:v>0</c:v>
                </c:pt>
                <c:pt idx="22">
                  <c:v>0</c:v>
                </c:pt>
                <c:pt idx="23">
                  <c:v>0</c:v>
                </c:pt>
                <c:pt idx="24">
                  <c:v>0</c:v>
                </c:pt>
                <c:pt idx="25">
                  <c:v>1540000.0000000002</c:v>
                </c:pt>
                <c:pt idx="26">
                  <c:v>0</c:v>
                </c:pt>
                <c:pt idx="27">
                  <c:v>0</c:v>
                </c:pt>
                <c:pt idx="28">
                  <c:v>2075652.1739130437</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0473-4F5E-AA4F-042F67D73DA7}"/>
            </c:ext>
          </c:extLst>
        </c:ser>
        <c:ser>
          <c:idx val="1"/>
          <c:order val="2"/>
          <c:tx>
            <c:strRef>
              <c:f>'Detailed Feasibility'!$B$136</c:f>
              <c:strCache>
                <c:ptCount val="1"/>
                <c:pt idx="0">
                  <c:v>Total PHO Loan and Other Funding </c:v>
                </c:pt>
              </c:strCache>
            </c:strRef>
          </c:tx>
          <c:spPr>
            <a:solidFill>
              <a:srgbClr val="00B0F0"/>
            </a:solidFill>
            <a:ln>
              <a:solidFill>
                <a:srgbClr val="00B0F0"/>
              </a:solidFill>
            </a:ln>
            <a:effectLst/>
          </c:spPr>
          <c:invertIfNegative val="0"/>
          <c:val>
            <c:numRef>
              <c:f>'Detailed Feasibility'!$F$136:$BM$136</c:f>
              <c:numCache>
                <c:formatCode>"$"#,##0;[Red]\("$"#,##0\)</c:formatCode>
                <c:ptCount val="60"/>
                <c:pt idx="0">
                  <c:v>1436400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415799.99999999994</c:v>
                </c:pt>
                <c:pt idx="17">
                  <c:v>554400</c:v>
                </c:pt>
                <c:pt idx="18">
                  <c:v>0</c:v>
                </c:pt>
                <c:pt idx="19">
                  <c:v>0</c:v>
                </c:pt>
                <c:pt idx="20">
                  <c:v>0</c:v>
                </c:pt>
                <c:pt idx="21">
                  <c:v>0</c:v>
                </c:pt>
                <c:pt idx="22">
                  <c:v>0</c:v>
                </c:pt>
                <c:pt idx="23">
                  <c:v>434699.99999999994</c:v>
                </c:pt>
                <c:pt idx="24">
                  <c:v>579600</c:v>
                </c:pt>
                <c:pt idx="25">
                  <c:v>0</c:v>
                </c:pt>
                <c:pt idx="26">
                  <c:v>585900</c:v>
                </c:pt>
                <c:pt idx="27">
                  <c:v>781200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0473-4F5E-AA4F-042F67D73DA7}"/>
            </c:ext>
          </c:extLst>
        </c:ser>
        <c:dLbls>
          <c:showLegendKey val="0"/>
          <c:showVal val="0"/>
          <c:showCatName val="0"/>
          <c:showSerName val="0"/>
          <c:showPercent val="0"/>
          <c:showBubbleSize val="0"/>
        </c:dLbls>
        <c:gapWidth val="150"/>
        <c:axId val="114825992"/>
        <c:axId val="114826648"/>
      </c:barChart>
      <c:lineChart>
        <c:grouping val="standard"/>
        <c:varyColors val="0"/>
        <c:ser>
          <c:idx val="3"/>
          <c:order val="3"/>
          <c:tx>
            <c:strRef>
              <c:f>'Detailed Feasibility'!$B$154</c:f>
              <c:strCache>
                <c:ptCount val="1"/>
                <c:pt idx="0">
                  <c:v>Cumulative Project Surplus/Deficit</c:v>
                </c:pt>
              </c:strCache>
            </c:strRef>
          </c:tx>
          <c:spPr>
            <a:ln w="28575" cap="rnd">
              <a:solidFill>
                <a:srgbClr val="FFC000"/>
              </a:solidFill>
              <a:round/>
            </a:ln>
            <a:effectLst/>
          </c:spPr>
          <c:marker>
            <c:symbol val="none"/>
          </c:marker>
          <c:val>
            <c:numRef>
              <c:f>'Detailed Feasibility'!$F$154:$BM$154</c:f>
              <c:numCache>
                <c:formatCode>"$"#,##0;[Red]\("$"#,##0\)</c:formatCode>
                <c:ptCount val="60"/>
                <c:pt idx="0">
                  <c:v>426400</c:v>
                </c:pt>
                <c:pt idx="1">
                  <c:v>426400</c:v>
                </c:pt>
                <c:pt idx="2">
                  <c:v>426400</c:v>
                </c:pt>
                <c:pt idx="3">
                  <c:v>426400</c:v>
                </c:pt>
                <c:pt idx="4">
                  <c:v>371030</c:v>
                </c:pt>
                <c:pt idx="5">
                  <c:v>286088.57142857142</c:v>
                </c:pt>
                <c:pt idx="6">
                  <c:v>201147.14285714284</c:v>
                </c:pt>
                <c:pt idx="7">
                  <c:v>116205.71428571426</c:v>
                </c:pt>
                <c:pt idx="8">
                  <c:v>31264.285714285681</c:v>
                </c:pt>
                <c:pt idx="9">
                  <c:v>-53677.142857142899</c:v>
                </c:pt>
                <c:pt idx="10">
                  <c:v>-138618.57142857148</c:v>
                </c:pt>
                <c:pt idx="11">
                  <c:v>-223560.00000000006</c:v>
                </c:pt>
                <c:pt idx="12">
                  <c:v>-308501.42857142864</c:v>
                </c:pt>
                <c:pt idx="13">
                  <c:v>-822776.19047619053</c:v>
                </c:pt>
                <c:pt idx="14">
                  <c:v>-907717.61904761917</c:v>
                </c:pt>
                <c:pt idx="15">
                  <c:v>-992659.04761904781</c:v>
                </c:pt>
                <c:pt idx="16">
                  <c:v>-1091133.8095238097</c:v>
                </c:pt>
                <c:pt idx="17">
                  <c:v>-1231008.5714285716</c:v>
                </c:pt>
                <c:pt idx="18">
                  <c:v>-22906.521739130374</c:v>
                </c:pt>
                <c:pt idx="19">
                  <c:v>-22906.521739130374</c:v>
                </c:pt>
                <c:pt idx="20">
                  <c:v>-578739.85507246363</c:v>
                </c:pt>
                <c:pt idx="21">
                  <c:v>-578739.85507246363</c:v>
                </c:pt>
                <c:pt idx="22">
                  <c:v>-578739.85507246363</c:v>
                </c:pt>
                <c:pt idx="23">
                  <c:v>-1665873.1884057969</c:v>
                </c:pt>
                <c:pt idx="24">
                  <c:v>-1642106.5217391301</c:v>
                </c:pt>
                <c:pt idx="25">
                  <c:v>-102106.52173912991</c:v>
                </c:pt>
                <c:pt idx="26">
                  <c:v>-482206.52173912991</c:v>
                </c:pt>
                <c:pt idx="27">
                  <c:v>-667006.52173912991</c:v>
                </c:pt>
                <c:pt idx="28">
                  <c:v>1408645.6521739138</c:v>
                </c:pt>
                <c:pt idx="29">
                  <c:v>1408645.6521739138</c:v>
                </c:pt>
                <c:pt idx="30">
                  <c:v>1408645.6521739138</c:v>
                </c:pt>
                <c:pt idx="31">
                  <c:v>1408645.6521739138</c:v>
                </c:pt>
                <c:pt idx="32">
                  <c:v>1408645.6521739138</c:v>
                </c:pt>
                <c:pt idx="33">
                  <c:v>1408645.6521739138</c:v>
                </c:pt>
                <c:pt idx="34">
                  <c:v>1408645.6521739138</c:v>
                </c:pt>
                <c:pt idx="35">
                  <c:v>1408645.6521739138</c:v>
                </c:pt>
                <c:pt idx="36">
                  <c:v>1408645.6521739138</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0216-4C54-80FA-A2DFDC691D91}"/>
            </c:ext>
          </c:extLst>
        </c:ser>
        <c:dLbls>
          <c:showLegendKey val="0"/>
          <c:showVal val="0"/>
          <c:showCatName val="0"/>
          <c:showSerName val="0"/>
          <c:showPercent val="0"/>
          <c:showBubbleSize val="0"/>
        </c:dLbls>
        <c:marker val="1"/>
        <c:smooth val="0"/>
        <c:axId val="114825992"/>
        <c:axId val="114826648"/>
      </c:lineChart>
      <c:catAx>
        <c:axId val="114825992"/>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NZ" sz="1200"/>
                  <a:t>Month</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826648"/>
        <c:crosses val="autoZero"/>
        <c:auto val="1"/>
        <c:lblAlgn val="ctr"/>
        <c:lblOffset val="100"/>
        <c:noMultiLvlLbl val="0"/>
      </c:catAx>
      <c:valAx>
        <c:axId val="114826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NZ" sz="1200"/>
                  <a:t>Quantum $</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quot;$&quot;#,##0;[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825992"/>
        <c:crosses val="autoZero"/>
        <c:crossBetween val="between"/>
      </c:valAx>
      <c:spPr>
        <a:noFill/>
        <a:ln>
          <a:noFill/>
        </a:ln>
        <a:effectLst/>
      </c:spPr>
    </c:plotArea>
    <c:legend>
      <c:legendPos val="b"/>
      <c:layout>
        <c:manualLayout>
          <c:xMode val="edge"/>
          <c:yMode val="edge"/>
          <c:x val="1.4541425413277718E-2"/>
          <c:y val="0.94601880305009367"/>
          <c:w val="0.84667472263644228"/>
          <c:h val="5.398114357829727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2047875</xdr:colOff>
      <xdr:row>8</xdr:row>
      <xdr:rowOff>142875</xdr:rowOff>
    </xdr:from>
    <xdr:to>
      <xdr:col>8</xdr:col>
      <xdr:colOff>3314701</xdr:colOff>
      <xdr:row>12</xdr:row>
      <xdr:rowOff>100543</xdr:rowOff>
    </xdr:to>
    <xdr:sp macro="" textlink="">
      <xdr:nvSpPr>
        <xdr:cNvPr id="2" name="TextBox 1">
          <a:extLst>
            <a:ext uri="{FF2B5EF4-FFF2-40B4-BE49-F238E27FC236}">
              <a16:creationId xmlns:a16="http://schemas.microsoft.com/office/drawing/2014/main" id="{0A056053-582E-4126-B1EF-EE3B6E57156D}"/>
            </a:ext>
          </a:extLst>
        </xdr:cNvPr>
        <xdr:cNvSpPr txBox="1"/>
      </xdr:nvSpPr>
      <xdr:spPr>
        <a:xfrm>
          <a:off x="7418917" y="1317625"/>
          <a:ext cx="5653617" cy="7196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900" b="1">
              <a:solidFill>
                <a:schemeClr val="dk1"/>
              </a:solidFill>
              <a:effectLst/>
              <a:latin typeface="+mn-lt"/>
              <a:ea typeface="+mn-ea"/>
              <a:cs typeface="+mn-cs"/>
            </a:rPr>
            <a:t>Disclaimer </a:t>
          </a:r>
          <a:r>
            <a:rPr lang="en-NZ" sz="900">
              <a:solidFill>
                <a:schemeClr val="dk1"/>
              </a:solidFill>
              <a:effectLst/>
              <a:latin typeface="+mn-lt"/>
              <a:ea typeface="+mn-ea"/>
              <a:cs typeface="+mn-cs"/>
            </a:rPr>
            <a:t>: The ‘</a:t>
          </a:r>
          <a:r>
            <a:rPr lang="en-NZ" sz="900" i="1">
              <a:solidFill>
                <a:schemeClr val="dk1"/>
              </a:solidFill>
              <a:effectLst/>
              <a:latin typeface="+mn-lt"/>
              <a:ea typeface="+mn-ea"/>
              <a:cs typeface="+mn-cs"/>
            </a:rPr>
            <a:t>Model</a:t>
          </a:r>
          <a:r>
            <a:rPr lang="en-NZ" sz="900">
              <a:solidFill>
                <a:schemeClr val="dk1"/>
              </a:solidFill>
              <a:effectLst/>
              <a:latin typeface="+mn-lt"/>
              <a:ea typeface="+mn-ea"/>
              <a:cs typeface="+mn-cs"/>
            </a:rPr>
            <a:t>’ is provided to you strictly on the basis that it is for HUD internal assessment purposes only and must not be relied upon by you or any other recipient in any way or for any purpose.  You must make your own independent financial assessment and due diligence and satisfy yourself as to all and any matters relevant to the Progressive Home Ownership project you are submitting a funding application for.</a:t>
          </a:r>
          <a:endParaRPr lang="en-NZ" sz="900">
            <a:effectLst/>
          </a:endParaRPr>
        </a:p>
        <a:p>
          <a:endParaRPr lang="en-NZ" sz="1100"/>
        </a:p>
      </xdr:txBody>
    </xdr:sp>
    <xdr:clientData/>
  </xdr:twoCellAnchor>
  <xdr:twoCellAnchor editAs="oneCell">
    <xdr:from>
      <xdr:col>1</xdr:col>
      <xdr:colOff>209551</xdr:colOff>
      <xdr:row>8</xdr:row>
      <xdr:rowOff>95250</xdr:rowOff>
    </xdr:from>
    <xdr:to>
      <xdr:col>3</xdr:col>
      <xdr:colOff>342901</xdr:colOff>
      <xdr:row>12</xdr:row>
      <xdr:rowOff>123825</xdr:rowOff>
    </xdr:to>
    <xdr:pic>
      <xdr:nvPicPr>
        <xdr:cNvPr id="3" name="Picture 2">
          <a:extLst>
            <a:ext uri="{FF2B5EF4-FFF2-40B4-BE49-F238E27FC236}">
              <a16:creationId xmlns:a16="http://schemas.microsoft.com/office/drawing/2014/main" id="{76A0BDB2-F744-431E-95A0-7A0887542AFF}"/>
            </a:ext>
          </a:extLst>
        </xdr:cNvPr>
        <xdr:cNvPicPr>
          <a:picLocks noChangeAspect="1"/>
        </xdr:cNvPicPr>
      </xdr:nvPicPr>
      <xdr:blipFill>
        <a:blip xmlns:r="http://schemas.openxmlformats.org/officeDocument/2006/relationships" r:embed="rId1"/>
        <a:stretch>
          <a:fillRect/>
        </a:stretch>
      </xdr:blipFill>
      <xdr:spPr>
        <a:xfrm>
          <a:off x="819151" y="1276350"/>
          <a:ext cx="2952750"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56694</xdr:colOff>
      <xdr:row>124</xdr:row>
      <xdr:rowOff>9526</xdr:rowOff>
    </xdr:from>
    <xdr:to>
      <xdr:col>4</xdr:col>
      <xdr:colOff>938892</xdr:colOff>
      <xdr:row>141</xdr:row>
      <xdr:rowOff>163288</xdr:rowOff>
    </xdr:to>
    <xdr:graphicFrame macro="">
      <xdr:nvGraphicFramePr>
        <xdr:cNvPr id="9" name="Chart 2">
          <a:extLst>
            <a:ext uri="{FF2B5EF4-FFF2-40B4-BE49-F238E27FC236}">
              <a16:creationId xmlns:a16="http://schemas.microsoft.com/office/drawing/2014/main" id="{EDD78D9C-0D84-42BD-B3EF-D3B04F7571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74541</xdr:colOff>
      <xdr:row>8</xdr:row>
      <xdr:rowOff>68132</xdr:rowOff>
    </xdr:from>
    <xdr:to>
      <xdr:col>9</xdr:col>
      <xdr:colOff>944012</xdr:colOff>
      <xdr:row>12</xdr:row>
      <xdr:rowOff>121993</xdr:rowOff>
    </xdr:to>
    <xdr:pic>
      <xdr:nvPicPr>
        <xdr:cNvPr id="5" name="Picture 4">
          <a:extLst>
            <a:ext uri="{FF2B5EF4-FFF2-40B4-BE49-F238E27FC236}">
              <a16:creationId xmlns:a16="http://schemas.microsoft.com/office/drawing/2014/main" id="{3805F93A-FDDD-436A-ABAC-F72E9B92106D}"/>
            </a:ext>
          </a:extLst>
        </xdr:cNvPr>
        <xdr:cNvPicPr>
          <a:picLocks noChangeAspect="1"/>
        </xdr:cNvPicPr>
      </xdr:nvPicPr>
      <xdr:blipFill>
        <a:blip xmlns:r="http://schemas.openxmlformats.org/officeDocument/2006/relationships" r:embed="rId2"/>
        <a:stretch>
          <a:fillRect/>
        </a:stretch>
      </xdr:blipFill>
      <xdr:spPr>
        <a:xfrm>
          <a:off x="10806041" y="1666215"/>
          <a:ext cx="3187222" cy="8687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1523998</xdr:colOff>
      <xdr:row>5</xdr:row>
      <xdr:rowOff>34016</xdr:rowOff>
    </xdr:from>
    <xdr:to>
      <xdr:col>7</xdr:col>
      <xdr:colOff>1861835</xdr:colOff>
      <xdr:row>9</xdr:row>
      <xdr:rowOff>136069</xdr:rowOff>
    </xdr:to>
    <xdr:pic>
      <xdr:nvPicPr>
        <xdr:cNvPr id="2" name="Picture 1">
          <a:extLst>
            <a:ext uri="{FF2B5EF4-FFF2-40B4-BE49-F238E27FC236}">
              <a16:creationId xmlns:a16="http://schemas.microsoft.com/office/drawing/2014/main" id="{CFF0E5C6-7385-4A4A-B4F4-FDDEE5E06B59}"/>
            </a:ext>
          </a:extLst>
        </xdr:cNvPr>
        <xdr:cNvPicPr>
          <a:picLocks noChangeAspect="1"/>
        </xdr:cNvPicPr>
      </xdr:nvPicPr>
      <xdr:blipFill>
        <a:blip xmlns:r="http://schemas.openxmlformats.org/officeDocument/2006/relationships" r:embed="rId1"/>
        <a:stretch>
          <a:fillRect/>
        </a:stretch>
      </xdr:blipFill>
      <xdr:spPr>
        <a:xfrm>
          <a:off x="14913427" y="1149802"/>
          <a:ext cx="3127301" cy="8640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10</xdr:col>
      <xdr:colOff>653143</xdr:colOff>
      <xdr:row>5</xdr:row>
      <xdr:rowOff>66620</xdr:rowOff>
    </xdr:from>
    <xdr:ext cx="2517792" cy="729778"/>
    <xdr:pic>
      <xdr:nvPicPr>
        <xdr:cNvPr id="5" name="Picture 1">
          <a:extLst>
            <a:ext uri="{FF2B5EF4-FFF2-40B4-BE49-F238E27FC236}">
              <a16:creationId xmlns:a16="http://schemas.microsoft.com/office/drawing/2014/main" id="{5753114A-527D-4A6C-B961-F362ADAC6413}"/>
            </a:ext>
          </a:extLst>
        </xdr:cNvPr>
        <xdr:cNvPicPr>
          <a:picLocks noChangeAspect="1"/>
        </xdr:cNvPicPr>
      </xdr:nvPicPr>
      <xdr:blipFill>
        <a:blip xmlns:r="http://schemas.openxmlformats.org/officeDocument/2006/relationships" r:embed="rId1"/>
        <a:stretch>
          <a:fillRect/>
        </a:stretch>
      </xdr:blipFill>
      <xdr:spPr>
        <a:xfrm>
          <a:off x="13335000" y="978299"/>
          <a:ext cx="2517792" cy="72977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14553</xdr:colOff>
      <xdr:row>19</xdr:row>
      <xdr:rowOff>22489</xdr:rowOff>
    </xdr:from>
    <xdr:to>
      <xdr:col>11</xdr:col>
      <xdr:colOff>928687</xdr:colOff>
      <xdr:row>40</xdr:row>
      <xdr:rowOff>1323</xdr:rowOff>
    </xdr:to>
    <xdr:graphicFrame macro="">
      <xdr:nvGraphicFramePr>
        <xdr:cNvPr id="4" name="Chart 3">
          <a:extLst>
            <a:ext uri="{FF2B5EF4-FFF2-40B4-BE49-F238E27FC236}">
              <a16:creationId xmlns:a16="http://schemas.microsoft.com/office/drawing/2014/main" id="{7543E301-E636-460E-88C2-4CD0E62399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1932192</xdr:colOff>
      <xdr:row>6</xdr:row>
      <xdr:rowOff>0</xdr:rowOff>
    </xdr:from>
    <xdr:ext cx="1973060" cy="571888"/>
    <xdr:pic>
      <xdr:nvPicPr>
        <xdr:cNvPr id="3" name="Picture 1">
          <a:extLst>
            <a:ext uri="{FF2B5EF4-FFF2-40B4-BE49-F238E27FC236}">
              <a16:creationId xmlns:a16="http://schemas.microsoft.com/office/drawing/2014/main" id="{4ED0933A-3AEA-4A45-A697-9BA8CABFDE46}"/>
            </a:ext>
          </a:extLst>
        </xdr:cNvPr>
        <xdr:cNvPicPr>
          <a:picLocks noChangeAspect="1"/>
        </xdr:cNvPicPr>
      </xdr:nvPicPr>
      <xdr:blipFill>
        <a:blip xmlns:r="http://schemas.openxmlformats.org/officeDocument/2006/relationships" r:embed="rId2"/>
        <a:stretch>
          <a:fillRect/>
        </a:stretch>
      </xdr:blipFill>
      <xdr:spPr>
        <a:xfrm>
          <a:off x="14219442" y="1178719"/>
          <a:ext cx="1973060" cy="571888"/>
        </a:xfrm>
        <a:prstGeom prst="rect">
          <a:avLst/>
        </a:prstGeom>
      </xdr:spPr>
    </xdr:pic>
    <xdr:clientData/>
  </xdr:oneCellAnchor>
</xdr:wsDr>
</file>

<file path=xl/theme/theme1.xml><?xml version="1.0" encoding="utf-8"?>
<a:theme xmlns:a="http://schemas.openxmlformats.org/drawingml/2006/main" name="Office Theme">
  <a:themeElements>
    <a:clrScheme name="TPG Coulours">
      <a:dk1>
        <a:sysClr val="windowText" lastClr="000000"/>
      </a:dk1>
      <a:lt1>
        <a:srgbClr val="FFFFFF"/>
      </a:lt1>
      <a:dk2>
        <a:srgbClr val="353F48"/>
      </a:dk2>
      <a:lt2>
        <a:srgbClr val="EBEBEB"/>
      </a:lt2>
      <a:accent1>
        <a:srgbClr val="67AD96"/>
      </a:accent1>
      <a:accent2>
        <a:srgbClr val="353F48"/>
      </a:accent2>
      <a:accent3>
        <a:srgbClr val="98999B"/>
      </a:accent3>
      <a:accent4>
        <a:srgbClr val="ADD3C6"/>
      </a:accent4>
      <a:accent5>
        <a:srgbClr val="B6C0CA"/>
      </a:accent5>
      <a:accent6>
        <a:srgbClr val="ADD3C6"/>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FD35B-3910-4BDF-8FBC-0D9512D229FA}">
  <sheetPr>
    <tabColor theme="0"/>
  </sheetPr>
  <dimension ref="A1:AW234"/>
  <sheetViews>
    <sheetView tabSelected="1" zoomScale="80" zoomScaleNormal="80" workbookViewId="0"/>
  </sheetViews>
  <sheetFormatPr defaultRowHeight="14.25" x14ac:dyDescent="0.45"/>
  <cols>
    <col min="2" max="2" width="18.86328125" customWidth="1"/>
    <col min="3" max="3" width="23.3984375" customWidth="1"/>
    <col min="4" max="4" width="11.265625" customWidth="1"/>
    <col min="5" max="5" width="8.73046875" customWidth="1"/>
    <col min="7" max="7" width="44" customWidth="1"/>
    <col min="8" max="8" width="21.86328125" customWidth="1"/>
    <col min="9" max="9" width="64.73046875" customWidth="1"/>
    <col min="10" max="19" width="9.1328125" style="1"/>
    <col min="20" max="20" width="67.73046875" style="1" customWidth="1"/>
    <col min="21" max="21" width="66.1328125" style="1" customWidth="1"/>
    <col min="22" max="49" width="9.1328125" style="1"/>
  </cols>
  <sheetData>
    <row r="1" spans="1:10" x14ac:dyDescent="0.45">
      <c r="A1" s="1"/>
      <c r="B1" s="1"/>
      <c r="C1" s="1"/>
      <c r="D1" s="1"/>
      <c r="E1" s="1"/>
      <c r="F1" s="1"/>
      <c r="G1" s="1"/>
      <c r="H1" s="1"/>
      <c r="I1" s="1"/>
    </row>
    <row r="2" spans="1:10" x14ac:dyDescent="0.45">
      <c r="A2" s="1"/>
      <c r="B2" s="1"/>
      <c r="C2" s="1"/>
      <c r="D2" s="1"/>
      <c r="E2" s="1"/>
      <c r="F2" s="1"/>
      <c r="G2" s="1"/>
      <c r="H2" s="1"/>
      <c r="I2" s="1"/>
    </row>
    <row r="3" spans="1:10" x14ac:dyDescent="0.45">
      <c r="A3" s="1"/>
      <c r="B3" s="541" t="s">
        <v>0</v>
      </c>
      <c r="C3" s="541" t="s">
        <v>1</v>
      </c>
      <c r="D3" s="542"/>
      <c r="E3" s="541"/>
      <c r="F3" s="542"/>
      <c r="G3" s="542"/>
      <c r="H3" s="542"/>
      <c r="I3" s="542"/>
    </row>
    <row r="4" spans="1:10" ht="15.75" customHeight="1" x14ac:dyDescent="0.45">
      <c r="A4" s="1"/>
      <c r="B4" s="673" t="s">
        <v>372</v>
      </c>
      <c r="C4" s="673"/>
      <c r="D4" s="673"/>
      <c r="E4" s="673"/>
      <c r="F4" s="673"/>
      <c r="G4" s="673"/>
      <c r="H4" s="673"/>
      <c r="I4" s="673"/>
    </row>
    <row r="5" spans="1:10" ht="15.75" customHeight="1" x14ac:dyDescent="0.45">
      <c r="A5" s="1"/>
      <c r="B5" s="673"/>
      <c r="C5" s="673"/>
      <c r="D5" s="673"/>
      <c r="E5" s="673"/>
      <c r="F5" s="673"/>
      <c r="G5" s="673"/>
      <c r="H5" s="673"/>
      <c r="I5" s="673"/>
    </row>
    <row r="6" spans="1:10" ht="15.75" customHeight="1" x14ac:dyDescent="0.45">
      <c r="A6" s="1"/>
      <c r="B6" s="673"/>
      <c r="C6" s="673"/>
      <c r="D6" s="673"/>
      <c r="E6" s="673"/>
      <c r="F6" s="673"/>
      <c r="G6" s="673"/>
      <c r="H6" s="673"/>
      <c r="I6" s="673"/>
    </row>
    <row r="7" spans="1:10" ht="15.75" customHeight="1" x14ac:dyDescent="0.45">
      <c r="A7" s="1"/>
      <c r="B7" s="673"/>
      <c r="C7" s="673"/>
      <c r="D7" s="673"/>
      <c r="E7" s="673"/>
      <c r="F7" s="673"/>
      <c r="G7" s="673"/>
      <c r="H7" s="673"/>
      <c r="I7" s="673"/>
    </row>
    <row r="8" spans="1:10" s="1" customFormat="1" ht="15.75" customHeight="1" x14ac:dyDescent="0.45">
      <c r="B8" s="543"/>
      <c r="C8" s="543"/>
      <c r="D8" s="543"/>
      <c r="E8" s="543"/>
      <c r="F8" s="543"/>
      <c r="G8" s="543"/>
      <c r="H8" s="543"/>
      <c r="I8" s="543"/>
    </row>
    <row r="9" spans="1:10" x14ac:dyDescent="0.45">
      <c r="A9" s="1"/>
      <c r="B9" s="4"/>
      <c r="C9" s="5"/>
      <c r="D9" s="5"/>
      <c r="E9" s="5"/>
      <c r="F9" s="5"/>
      <c r="G9" s="5"/>
      <c r="H9" s="5"/>
      <c r="I9" s="6"/>
    </row>
    <row r="10" spans="1:10" x14ac:dyDescent="0.45">
      <c r="A10" s="1"/>
      <c r="B10" s="2"/>
      <c r="C10" s="254"/>
      <c r="D10" s="254"/>
      <c r="E10" s="254"/>
      <c r="F10" s="254"/>
      <c r="G10" s="254"/>
      <c r="H10" s="254"/>
      <c r="I10" s="3"/>
    </row>
    <row r="11" spans="1:10" x14ac:dyDescent="0.45">
      <c r="A11" s="1"/>
      <c r="B11" s="2"/>
      <c r="C11" s="254"/>
      <c r="D11" s="254"/>
      <c r="E11" s="254"/>
      <c r="F11" s="254"/>
      <c r="G11" s="254"/>
      <c r="H11" s="254"/>
      <c r="I11" s="3"/>
    </row>
    <row r="12" spans="1:10" x14ac:dyDescent="0.45">
      <c r="A12" s="1"/>
      <c r="B12" s="2"/>
      <c r="C12" s="254"/>
      <c r="D12" s="254"/>
      <c r="E12" s="254"/>
      <c r="F12" s="254"/>
      <c r="G12" s="254"/>
      <c r="H12" s="254"/>
      <c r="I12" s="3"/>
    </row>
    <row r="13" spans="1:10" x14ac:dyDescent="0.45">
      <c r="A13" s="1"/>
      <c r="B13" s="2"/>
      <c r="C13" s="254"/>
      <c r="D13" s="254"/>
      <c r="E13" s="254"/>
      <c r="F13" s="254"/>
      <c r="G13" s="254"/>
      <c r="H13" s="254"/>
      <c r="I13" s="3"/>
    </row>
    <row r="14" spans="1:10" x14ac:dyDescent="0.45">
      <c r="A14" s="1"/>
      <c r="B14" s="670" t="s">
        <v>2</v>
      </c>
      <c r="C14" s="671"/>
      <c r="D14" s="671"/>
      <c r="E14" s="671"/>
      <c r="F14" s="671"/>
      <c r="G14" s="671"/>
      <c r="H14" s="671"/>
      <c r="I14" s="672"/>
      <c r="J14" s="254"/>
    </row>
    <row r="15" spans="1:10" x14ac:dyDescent="0.45">
      <c r="A15" s="1"/>
      <c r="B15" s="587"/>
      <c r="C15" s="586"/>
      <c r="D15" s="586"/>
      <c r="E15" s="586"/>
      <c r="F15" s="586"/>
      <c r="G15" s="586"/>
      <c r="H15" s="586"/>
      <c r="I15" s="156"/>
      <c r="J15" s="254"/>
    </row>
    <row r="16" spans="1:10" x14ac:dyDescent="0.45">
      <c r="A16" s="1"/>
      <c r="B16" s="463" t="s">
        <v>427</v>
      </c>
      <c r="C16" s="586"/>
      <c r="D16" s="586"/>
      <c r="E16" s="586"/>
      <c r="F16" s="586"/>
      <c r="G16" s="586"/>
      <c r="H16" s="586"/>
      <c r="I16" s="156"/>
      <c r="J16" s="254"/>
    </row>
    <row r="17" spans="1:10" x14ac:dyDescent="0.45">
      <c r="A17" s="1"/>
      <c r="B17" s="463" t="s">
        <v>439</v>
      </c>
      <c r="C17" s="586"/>
      <c r="D17" s="586"/>
      <c r="E17" s="586"/>
      <c r="F17" s="586"/>
      <c r="G17" s="586"/>
      <c r="H17" s="586"/>
      <c r="I17" s="156"/>
      <c r="J17" s="254"/>
    </row>
    <row r="18" spans="1:10" x14ac:dyDescent="0.45">
      <c r="A18" s="1"/>
      <c r="B18" s="463" t="s">
        <v>432</v>
      </c>
      <c r="C18" s="586"/>
      <c r="D18" s="586"/>
      <c r="E18" s="586"/>
      <c r="F18" s="586"/>
      <c r="G18" s="586"/>
      <c r="H18" s="586"/>
      <c r="I18" s="156"/>
      <c r="J18" s="254"/>
    </row>
    <row r="19" spans="1:10" x14ac:dyDescent="0.45">
      <c r="A19" s="1"/>
      <c r="B19" s="464"/>
      <c r="C19" s="59"/>
      <c r="D19" s="59"/>
      <c r="E19" s="59"/>
      <c r="F19" s="59"/>
      <c r="G19" s="59"/>
      <c r="H19" s="59"/>
      <c r="I19" s="458"/>
      <c r="J19" s="254"/>
    </row>
    <row r="20" spans="1:10" x14ac:dyDescent="0.45">
      <c r="A20" s="1"/>
      <c r="B20" s="674" t="s">
        <v>3</v>
      </c>
      <c r="C20" s="675"/>
      <c r="D20" s="675"/>
      <c r="E20" s="675"/>
      <c r="F20" s="675"/>
      <c r="G20" s="675"/>
      <c r="H20" s="675"/>
      <c r="I20" s="676"/>
      <c r="J20" s="254"/>
    </row>
    <row r="21" spans="1:10" x14ac:dyDescent="0.45">
      <c r="A21" s="1"/>
      <c r="B21" s="9" t="s">
        <v>4</v>
      </c>
      <c r="C21" s="300"/>
      <c r="D21" s="300"/>
      <c r="E21" s="300" t="s">
        <v>5</v>
      </c>
      <c r="F21" s="300"/>
      <c r="G21" s="300"/>
      <c r="H21" s="300"/>
      <c r="I21" s="10" t="s">
        <v>6</v>
      </c>
      <c r="J21" s="254"/>
    </row>
    <row r="22" spans="1:10" x14ac:dyDescent="0.45">
      <c r="A22" s="1"/>
      <c r="B22" s="2"/>
      <c r="C22" s="254"/>
      <c r="D22" s="254"/>
      <c r="E22" s="254"/>
      <c r="F22" s="254"/>
      <c r="G22" s="254"/>
      <c r="H22" s="254"/>
      <c r="I22" s="8"/>
    </row>
    <row r="23" spans="1:10" x14ac:dyDescent="0.45">
      <c r="A23" s="1"/>
      <c r="B23" s="9" t="s">
        <v>7</v>
      </c>
      <c r="C23" s="300"/>
      <c r="D23" s="300"/>
      <c r="E23" s="300" t="s">
        <v>8</v>
      </c>
      <c r="F23" s="300"/>
      <c r="G23" s="300"/>
      <c r="H23" s="300"/>
      <c r="I23" s="646" t="s">
        <v>9</v>
      </c>
    </row>
    <row r="24" spans="1:10" x14ac:dyDescent="0.45">
      <c r="A24" s="1"/>
      <c r="B24" s="9"/>
      <c r="C24" s="300"/>
      <c r="D24" s="300"/>
      <c r="E24" s="300"/>
      <c r="F24" s="300"/>
      <c r="G24" s="300"/>
      <c r="H24" s="300"/>
      <c r="I24" s="10"/>
    </row>
    <row r="25" spans="1:10" x14ac:dyDescent="0.45">
      <c r="A25" s="1"/>
      <c r="B25" s="9" t="s">
        <v>10</v>
      </c>
      <c r="C25" s="300"/>
      <c r="D25" s="300"/>
      <c r="E25" s="300" t="s">
        <v>11</v>
      </c>
      <c r="F25" s="300"/>
      <c r="G25" s="300"/>
      <c r="H25" s="300"/>
      <c r="I25" s="10" t="s">
        <v>12</v>
      </c>
    </row>
    <row r="26" spans="1:10" ht="14.65" thickBot="1" x14ac:dyDescent="0.5">
      <c r="A26" s="1"/>
      <c r="B26" s="9"/>
      <c r="C26" s="300"/>
      <c r="D26" s="300"/>
      <c r="E26" s="300"/>
      <c r="F26" s="300"/>
      <c r="G26" s="300"/>
      <c r="H26" s="300"/>
      <c r="I26" s="10"/>
    </row>
    <row r="27" spans="1:10" ht="14.65" thickBot="1" x14ac:dyDescent="0.5">
      <c r="A27" s="1"/>
      <c r="B27" s="9" t="s">
        <v>13</v>
      </c>
      <c r="C27" s="300"/>
      <c r="D27" s="300"/>
      <c r="E27" s="300" t="s">
        <v>14</v>
      </c>
      <c r="F27" s="300"/>
      <c r="G27" s="300"/>
      <c r="H27" s="300"/>
      <c r="I27" s="462" t="s">
        <v>12</v>
      </c>
    </row>
    <row r="28" spans="1:10" x14ac:dyDescent="0.45">
      <c r="A28" s="1"/>
      <c r="B28" s="9"/>
      <c r="C28" s="300"/>
      <c r="D28" s="300"/>
      <c r="E28" s="300"/>
      <c r="F28" s="300"/>
      <c r="G28" s="300"/>
      <c r="H28" s="300"/>
      <c r="I28" s="10"/>
    </row>
    <row r="29" spans="1:10" x14ac:dyDescent="0.45">
      <c r="A29" s="1"/>
      <c r="B29" s="459" t="s">
        <v>15</v>
      </c>
      <c r="C29" s="460"/>
      <c r="D29" s="460"/>
      <c r="E29" s="460" t="s">
        <v>16</v>
      </c>
      <c r="F29" s="460"/>
      <c r="G29" s="460"/>
      <c r="H29" s="460"/>
      <c r="I29" s="461" t="s">
        <v>17</v>
      </c>
    </row>
    <row r="30" spans="1:10" s="1" customFormat="1" x14ac:dyDescent="0.45">
      <c r="B30" s="254"/>
      <c r="C30" s="254"/>
      <c r="D30" s="254"/>
      <c r="E30" s="254"/>
      <c r="F30" s="254"/>
      <c r="G30" s="254"/>
      <c r="H30" s="254"/>
      <c r="I30" s="467"/>
    </row>
    <row r="31" spans="1:10" x14ac:dyDescent="0.45">
      <c r="A31" s="1"/>
      <c r="B31" s="670" t="s">
        <v>371</v>
      </c>
      <c r="C31" s="671"/>
      <c r="D31" s="671"/>
      <c r="E31" s="671"/>
      <c r="F31" s="671"/>
      <c r="G31" s="671"/>
      <c r="H31" s="671"/>
      <c r="I31" s="672"/>
    </row>
    <row r="32" spans="1:10" x14ac:dyDescent="0.45">
      <c r="A32" s="1"/>
      <c r="B32" s="9" t="s">
        <v>18</v>
      </c>
      <c r="C32" s="254"/>
      <c r="D32" s="679"/>
      <c r="E32" s="679"/>
      <c r="F32" s="679"/>
      <c r="G32" s="640"/>
      <c r="H32" s="640"/>
      <c r="I32" s="641"/>
    </row>
    <row r="33" spans="1:9" x14ac:dyDescent="0.45">
      <c r="A33" s="1"/>
      <c r="B33" s="9" t="s">
        <v>19</v>
      </c>
      <c r="C33" s="254"/>
      <c r="D33" s="679"/>
      <c r="E33" s="679"/>
      <c r="F33" s="679"/>
      <c r="G33" s="640"/>
      <c r="H33" s="640"/>
      <c r="I33" s="641"/>
    </row>
    <row r="34" spans="1:9" x14ac:dyDescent="0.45">
      <c r="A34" s="1"/>
      <c r="B34" s="9" t="s">
        <v>20</v>
      </c>
      <c r="C34" s="254"/>
      <c r="D34" s="679"/>
      <c r="E34" s="679"/>
      <c r="F34" s="679"/>
      <c r="G34" s="640"/>
      <c r="H34" s="640"/>
      <c r="I34" s="641"/>
    </row>
    <row r="35" spans="1:9" x14ac:dyDescent="0.45">
      <c r="A35" s="1"/>
      <c r="B35" s="9" t="s">
        <v>21</v>
      </c>
      <c r="C35" s="254"/>
      <c r="D35" s="679"/>
      <c r="E35" s="679"/>
      <c r="F35" s="679"/>
      <c r="G35" s="640"/>
      <c r="H35" s="640"/>
      <c r="I35" s="641"/>
    </row>
    <row r="36" spans="1:9" x14ac:dyDescent="0.45">
      <c r="A36" s="1"/>
      <c r="B36" s="19" t="s">
        <v>22</v>
      </c>
      <c r="C36" s="12"/>
      <c r="D36" s="677"/>
      <c r="E36" s="677"/>
      <c r="F36" s="677"/>
      <c r="G36" s="677"/>
      <c r="H36" s="677"/>
      <c r="I36" s="678"/>
    </row>
    <row r="37" spans="1:9" s="1" customFormat="1" x14ac:dyDescent="0.45"/>
    <row r="38" spans="1:9" s="1" customFormat="1" x14ac:dyDescent="0.45">
      <c r="B38" s="670" t="s">
        <v>382</v>
      </c>
      <c r="C38" s="671"/>
      <c r="D38" s="671"/>
      <c r="E38" s="671"/>
      <c r="F38" s="671"/>
      <c r="G38" s="671"/>
      <c r="H38" s="671"/>
      <c r="I38" s="672"/>
    </row>
    <row r="39" spans="1:9" s="1" customFormat="1" x14ac:dyDescent="0.45">
      <c r="B39" s="642"/>
      <c r="C39" s="640"/>
      <c r="D39" s="640"/>
      <c r="E39" s="640"/>
      <c r="F39" s="640"/>
      <c r="G39" s="640"/>
      <c r="H39" s="640"/>
      <c r="I39" s="641"/>
    </row>
    <row r="40" spans="1:9" s="1" customFormat="1" x14ac:dyDescent="0.45">
      <c r="B40" s="642"/>
      <c r="C40" s="640"/>
      <c r="D40" s="640"/>
      <c r="E40" s="640"/>
      <c r="F40" s="640"/>
      <c r="G40" s="640"/>
      <c r="H40" s="640"/>
      <c r="I40" s="641"/>
    </row>
    <row r="41" spans="1:9" s="1" customFormat="1" x14ac:dyDescent="0.45">
      <c r="B41" s="642"/>
      <c r="C41" s="640"/>
      <c r="D41" s="640"/>
      <c r="E41" s="640"/>
      <c r="F41" s="640"/>
      <c r="G41" s="640"/>
      <c r="H41" s="640"/>
      <c r="I41" s="641"/>
    </row>
    <row r="42" spans="1:9" s="1" customFormat="1" x14ac:dyDescent="0.45">
      <c r="B42" s="642"/>
      <c r="C42" s="640"/>
      <c r="D42" s="640"/>
      <c r="E42" s="640"/>
      <c r="F42" s="640"/>
      <c r="G42" s="640"/>
      <c r="H42" s="640"/>
      <c r="I42" s="641"/>
    </row>
    <row r="43" spans="1:9" s="1" customFormat="1" x14ac:dyDescent="0.45">
      <c r="B43" s="642"/>
      <c r="C43" s="640"/>
      <c r="D43" s="640"/>
      <c r="E43" s="640"/>
      <c r="F43" s="640"/>
      <c r="G43" s="640"/>
      <c r="H43" s="640"/>
      <c r="I43" s="641"/>
    </row>
    <row r="44" spans="1:9" s="1" customFormat="1" x14ac:dyDescent="0.45">
      <c r="B44" s="642"/>
      <c r="C44" s="640"/>
      <c r="D44" s="640"/>
      <c r="E44" s="640"/>
      <c r="F44" s="640"/>
      <c r="G44" s="640"/>
      <c r="H44" s="640"/>
      <c r="I44" s="641"/>
    </row>
    <row r="45" spans="1:9" s="1" customFormat="1" x14ac:dyDescent="0.45">
      <c r="B45" s="642"/>
      <c r="C45" s="640"/>
      <c r="D45" s="640"/>
      <c r="E45" s="640"/>
      <c r="F45" s="640"/>
      <c r="G45" s="640"/>
      <c r="H45" s="640"/>
      <c r="I45" s="641"/>
    </row>
    <row r="46" spans="1:9" s="1" customFormat="1" x14ac:dyDescent="0.45">
      <c r="B46" s="642"/>
      <c r="C46" s="640"/>
      <c r="D46" s="640"/>
      <c r="E46" s="640"/>
      <c r="F46" s="640"/>
      <c r="G46" s="640"/>
      <c r="H46" s="640"/>
      <c r="I46" s="641"/>
    </row>
    <row r="47" spans="1:9" s="1" customFormat="1" x14ac:dyDescent="0.45">
      <c r="B47" s="642"/>
      <c r="C47" s="640"/>
      <c r="D47" s="640"/>
      <c r="E47" s="640"/>
      <c r="F47" s="640"/>
      <c r="G47" s="640"/>
      <c r="H47" s="640"/>
      <c r="I47" s="641"/>
    </row>
    <row r="48" spans="1:9" s="1" customFormat="1" x14ac:dyDescent="0.45">
      <c r="B48" s="642"/>
      <c r="C48" s="640"/>
      <c r="D48" s="640"/>
      <c r="E48" s="640"/>
      <c r="F48" s="640"/>
      <c r="G48" s="640"/>
      <c r="H48" s="640"/>
      <c r="I48" s="641"/>
    </row>
    <row r="49" spans="2:9" s="1" customFormat="1" x14ac:dyDescent="0.45">
      <c r="B49" s="642"/>
      <c r="C49" s="640"/>
      <c r="D49" s="640"/>
      <c r="E49" s="640"/>
      <c r="F49" s="640"/>
      <c r="G49" s="640"/>
      <c r="H49" s="640"/>
      <c r="I49" s="641"/>
    </row>
    <row r="50" spans="2:9" s="1" customFormat="1" x14ac:dyDescent="0.45">
      <c r="B50" s="642"/>
      <c r="C50" s="640"/>
      <c r="D50" s="640"/>
      <c r="E50" s="640"/>
      <c r="F50" s="640"/>
      <c r="G50" s="640"/>
      <c r="H50" s="640"/>
      <c r="I50" s="641"/>
    </row>
    <row r="51" spans="2:9" s="1" customFormat="1" x14ac:dyDescent="0.45">
      <c r="B51" s="642"/>
      <c r="C51" s="640"/>
      <c r="D51" s="640"/>
      <c r="E51" s="640"/>
      <c r="F51" s="640"/>
      <c r="G51" s="640"/>
      <c r="H51" s="640"/>
      <c r="I51" s="641"/>
    </row>
    <row r="52" spans="2:9" s="1" customFormat="1" x14ac:dyDescent="0.45">
      <c r="B52" s="642"/>
      <c r="C52" s="640"/>
      <c r="D52" s="640"/>
      <c r="E52" s="640"/>
      <c r="F52" s="640"/>
      <c r="G52" s="640"/>
      <c r="H52" s="640"/>
      <c r="I52" s="641"/>
    </row>
    <row r="53" spans="2:9" s="1" customFormat="1" x14ac:dyDescent="0.45">
      <c r="B53" s="642"/>
      <c r="C53" s="640"/>
      <c r="D53" s="640"/>
      <c r="E53" s="640"/>
      <c r="F53" s="640"/>
      <c r="G53" s="640"/>
      <c r="H53" s="640"/>
      <c r="I53" s="641"/>
    </row>
    <row r="54" spans="2:9" s="1" customFormat="1" x14ac:dyDescent="0.45">
      <c r="B54" s="642"/>
      <c r="C54" s="640"/>
      <c r="D54" s="640"/>
      <c r="E54" s="640"/>
      <c r="F54" s="640"/>
      <c r="G54" s="640"/>
      <c r="H54" s="640"/>
      <c r="I54" s="641"/>
    </row>
    <row r="55" spans="2:9" s="1" customFormat="1" x14ac:dyDescent="0.45">
      <c r="B55" s="642"/>
      <c r="C55" s="640"/>
      <c r="D55" s="640"/>
      <c r="E55" s="640"/>
      <c r="F55" s="640"/>
      <c r="G55" s="640"/>
      <c r="H55" s="640"/>
      <c r="I55" s="641"/>
    </row>
    <row r="56" spans="2:9" s="1" customFormat="1" x14ac:dyDescent="0.45">
      <c r="B56" s="642"/>
      <c r="C56" s="640"/>
      <c r="D56" s="640"/>
      <c r="E56" s="640"/>
      <c r="F56" s="640"/>
      <c r="G56" s="640"/>
      <c r="H56" s="640"/>
      <c r="I56" s="641"/>
    </row>
    <row r="57" spans="2:9" s="1" customFormat="1" x14ac:dyDescent="0.45">
      <c r="B57" s="642"/>
      <c r="C57" s="640"/>
      <c r="D57" s="640"/>
      <c r="E57" s="640"/>
      <c r="F57" s="640"/>
      <c r="G57" s="640"/>
      <c r="H57" s="640"/>
      <c r="I57" s="641"/>
    </row>
    <row r="58" spans="2:9" s="1" customFormat="1" x14ac:dyDescent="0.45">
      <c r="B58" s="642"/>
      <c r="C58" s="640"/>
      <c r="D58" s="640"/>
      <c r="E58" s="640"/>
      <c r="F58" s="640"/>
      <c r="G58" s="640"/>
      <c r="H58" s="640"/>
      <c r="I58" s="641"/>
    </row>
    <row r="59" spans="2:9" s="1" customFormat="1" x14ac:dyDescent="0.45">
      <c r="B59" s="642"/>
      <c r="C59" s="640"/>
      <c r="D59" s="640"/>
      <c r="E59" s="640"/>
      <c r="F59" s="640"/>
      <c r="G59" s="640"/>
      <c r="H59" s="640"/>
      <c r="I59" s="641"/>
    </row>
    <row r="60" spans="2:9" s="1" customFormat="1" x14ac:dyDescent="0.45">
      <c r="B60" s="642"/>
      <c r="C60" s="640"/>
      <c r="D60" s="640"/>
      <c r="E60" s="640"/>
      <c r="F60" s="640"/>
      <c r="G60" s="640"/>
      <c r="H60" s="640"/>
      <c r="I60" s="641"/>
    </row>
    <row r="61" spans="2:9" s="1" customFormat="1" x14ac:dyDescent="0.45">
      <c r="B61" s="642"/>
      <c r="C61" s="640"/>
      <c r="D61" s="640"/>
      <c r="E61" s="640"/>
      <c r="F61" s="640"/>
      <c r="G61" s="640"/>
      <c r="H61" s="640"/>
      <c r="I61" s="641"/>
    </row>
    <row r="62" spans="2:9" s="1" customFormat="1" x14ac:dyDescent="0.45">
      <c r="B62" s="642"/>
      <c r="C62" s="640"/>
      <c r="D62" s="640"/>
      <c r="E62" s="640"/>
      <c r="F62" s="640"/>
      <c r="G62" s="640"/>
      <c r="H62" s="640"/>
      <c r="I62" s="641"/>
    </row>
    <row r="63" spans="2:9" s="1" customFormat="1" x14ac:dyDescent="0.45">
      <c r="B63" s="642"/>
      <c r="C63" s="640"/>
      <c r="D63" s="640"/>
      <c r="E63" s="640"/>
      <c r="F63" s="640"/>
      <c r="G63" s="640"/>
      <c r="H63" s="640"/>
      <c r="I63" s="641"/>
    </row>
    <row r="64" spans="2:9" s="1" customFormat="1" x14ac:dyDescent="0.45">
      <c r="B64" s="642"/>
      <c r="C64" s="640"/>
      <c r="D64" s="640"/>
      <c r="E64" s="640"/>
      <c r="F64" s="640"/>
      <c r="G64" s="640"/>
      <c r="H64" s="640"/>
      <c r="I64" s="641"/>
    </row>
    <row r="65" spans="2:9" s="1" customFormat="1" x14ac:dyDescent="0.45">
      <c r="B65" s="642"/>
      <c r="C65" s="640"/>
      <c r="D65" s="640"/>
      <c r="E65" s="640"/>
      <c r="F65" s="640"/>
      <c r="G65" s="640"/>
      <c r="H65" s="640"/>
      <c r="I65" s="641"/>
    </row>
    <row r="66" spans="2:9" s="1" customFormat="1" x14ac:dyDescent="0.45">
      <c r="B66" s="642"/>
      <c r="C66" s="640"/>
      <c r="D66" s="640"/>
      <c r="E66" s="640"/>
      <c r="F66" s="640"/>
      <c r="G66" s="640"/>
      <c r="H66" s="640"/>
      <c r="I66" s="641"/>
    </row>
    <row r="67" spans="2:9" s="1" customFormat="1" x14ac:dyDescent="0.45">
      <c r="B67" s="642"/>
      <c r="C67" s="640"/>
      <c r="D67" s="640"/>
      <c r="E67" s="640"/>
      <c r="F67" s="640"/>
      <c r="G67" s="640"/>
      <c r="H67" s="640"/>
      <c r="I67" s="641"/>
    </row>
    <row r="68" spans="2:9" s="1" customFormat="1" x14ac:dyDescent="0.45">
      <c r="B68" s="643"/>
      <c r="C68" s="644"/>
      <c r="D68" s="644"/>
      <c r="E68" s="644"/>
      <c r="F68" s="644"/>
      <c r="G68" s="644"/>
      <c r="H68" s="644"/>
      <c r="I68" s="645"/>
    </row>
    <row r="69" spans="2:9" s="1" customFormat="1" x14ac:dyDescent="0.45"/>
    <row r="70" spans="2:9" s="1" customFormat="1" x14ac:dyDescent="0.45"/>
    <row r="71" spans="2:9" s="1" customFormat="1" x14ac:dyDescent="0.45"/>
    <row r="72" spans="2:9" s="1" customFormat="1" x14ac:dyDescent="0.45"/>
    <row r="73" spans="2:9" s="1" customFormat="1" x14ac:dyDescent="0.45"/>
    <row r="74" spans="2:9" s="1" customFormat="1" x14ac:dyDescent="0.45"/>
    <row r="75" spans="2:9" s="1" customFormat="1" x14ac:dyDescent="0.45">
      <c r="B75" s="15"/>
    </row>
    <row r="76" spans="2:9" s="1" customFormat="1" x14ac:dyDescent="0.45">
      <c r="B76" s="16"/>
    </row>
    <row r="77" spans="2:9" s="1" customFormat="1" x14ac:dyDescent="0.45">
      <c r="B77" s="16"/>
    </row>
    <row r="78" spans="2:9" s="1" customFormat="1" x14ac:dyDescent="0.45">
      <c r="B78" s="16"/>
    </row>
    <row r="79" spans="2:9" s="1" customFormat="1" x14ac:dyDescent="0.45"/>
    <row r="80" spans="2:9" s="1" customFormat="1" x14ac:dyDescent="0.45"/>
    <row r="81" s="1" customFormat="1" x14ac:dyDescent="0.45"/>
    <row r="82" s="1" customFormat="1" x14ac:dyDescent="0.45"/>
    <row r="83" s="1" customFormat="1" x14ac:dyDescent="0.45"/>
    <row r="84" s="1" customFormat="1" x14ac:dyDescent="0.45"/>
    <row r="85" s="1" customFormat="1" x14ac:dyDescent="0.45"/>
    <row r="86" s="1" customFormat="1" x14ac:dyDescent="0.45"/>
    <row r="87" s="1" customFormat="1" x14ac:dyDescent="0.45"/>
    <row r="88" s="1" customFormat="1" x14ac:dyDescent="0.45"/>
    <row r="89" s="1" customFormat="1" x14ac:dyDescent="0.45"/>
    <row r="90" s="1" customFormat="1" x14ac:dyDescent="0.45"/>
    <row r="91" s="1" customFormat="1" x14ac:dyDescent="0.45"/>
    <row r="92" s="1" customFormat="1" x14ac:dyDescent="0.45"/>
    <row r="93" s="1" customFormat="1" x14ac:dyDescent="0.45"/>
    <row r="94" s="1" customFormat="1" x14ac:dyDescent="0.45"/>
    <row r="95" s="1" customFormat="1" x14ac:dyDescent="0.45"/>
    <row r="96" s="1" customFormat="1" x14ac:dyDescent="0.45"/>
    <row r="97" s="1" customFormat="1" x14ac:dyDescent="0.45"/>
    <row r="98" s="1" customFormat="1" x14ac:dyDescent="0.45"/>
    <row r="99" s="1" customFormat="1" x14ac:dyDescent="0.45"/>
    <row r="100" s="1" customFormat="1" x14ac:dyDescent="0.45"/>
    <row r="101" s="1" customFormat="1" x14ac:dyDescent="0.45"/>
    <row r="102" s="1" customFormat="1" x14ac:dyDescent="0.45"/>
    <row r="103" s="1" customFormat="1" x14ac:dyDescent="0.45"/>
    <row r="104" s="1" customFormat="1" x14ac:dyDescent="0.45"/>
    <row r="105" s="1" customFormat="1" x14ac:dyDescent="0.45"/>
    <row r="106" s="1" customFormat="1" x14ac:dyDescent="0.45"/>
    <row r="107" s="1" customFormat="1" x14ac:dyDescent="0.45"/>
    <row r="108" s="1" customFormat="1" x14ac:dyDescent="0.45"/>
    <row r="109" s="1" customFormat="1" x14ac:dyDescent="0.45"/>
    <row r="110" s="1" customFormat="1" x14ac:dyDescent="0.45"/>
    <row r="111" s="1" customFormat="1" x14ac:dyDescent="0.45"/>
    <row r="112" s="1" customFormat="1" x14ac:dyDescent="0.45"/>
    <row r="113" s="1" customFormat="1" x14ac:dyDescent="0.45"/>
    <row r="114" s="1" customFormat="1" x14ac:dyDescent="0.45"/>
    <row r="115" s="1" customFormat="1" x14ac:dyDescent="0.45"/>
    <row r="116" s="1" customFormat="1" x14ac:dyDescent="0.45"/>
    <row r="117" s="1" customFormat="1" x14ac:dyDescent="0.45"/>
    <row r="118" s="1" customFormat="1" x14ac:dyDescent="0.45"/>
    <row r="119" s="1" customFormat="1" x14ac:dyDescent="0.45"/>
    <row r="120" s="1" customFormat="1" x14ac:dyDescent="0.45"/>
    <row r="121" s="1" customFormat="1" x14ac:dyDescent="0.45"/>
    <row r="122" s="1" customFormat="1" x14ac:dyDescent="0.45"/>
    <row r="123" s="1" customFormat="1" x14ac:dyDescent="0.45"/>
    <row r="124" s="1" customFormat="1" x14ac:dyDescent="0.45"/>
    <row r="125" s="1" customFormat="1" x14ac:dyDescent="0.45"/>
    <row r="126" s="1" customFormat="1" x14ac:dyDescent="0.45"/>
    <row r="127" s="1" customFormat="1" x14ac:dyDescent="0.45"/>
    <row r="128" s="1" customFormat="1" x14ac:dyDescent="0.45"/>
    <row r="129" s="1" customFormat="1" x14ac:dyDescent="0.45"/>
    <row r="130" s="1" customFormat="1" x14ac:dyDescent="0.45"/>
    <row r="131" s="1" customFormat="1" x14ac:dyDescent="0.45"/>
    <row r="132" s="1" customFormat="1" x14ac:dyDescent="0.45"/>
    <row r="133" s="1" customFormat="1" x14ac:dyDescent="0.45"/>
    <row r="134" s="1" customFormat="1" x14ac:dyDescent="0.45"/>
    <row r="135" s="1" customFormat="1" x14ac:dyDescent="0.45"/>
    <row r="136" s="1" customFormat="1" x14ac:dyDescent="0.45"/>
    <row r="137" s="1" customFormat="1" x14ac:dyDescent="0.45"/>
    <row r="138" s="1" customFormat="1" x14ac:dyDescent="0.45"/>
    <row r="139" s="1" customFormat="1" x14ac:dyDescent="0.45"/>
    <row r="140" s="1" customFormat="1" x14ac:dyDescent="0.45"/>
    <row r="141" s="1" customFormat="1" x14ac:dyDescent="0.45"/>
    <row r="142" s="1" customFormat="1" x14ac:dyDescent="0.45"/>
    <row r="143" s="1" customFormat="1" x14ac:dyDescent="0.45"/>
    <row r="144" s="1" customFormat="1" x14ac:dyDescent="0.45"/>
    <row r="145" s="1" customFormat="1" x14ac:dyDescent="0.45"/>
    <row r="146" s="1" customFormat="1" x14ac:dyDescent="0.45"/>
    <row r="147" s="1" customFormat="1" x14ac:dyDescent="0.45"/>
    <row r="148" s="1" customFormat="1" x14ac:dyDescent="0.45"/>
    <row r="149" s="1" customFormat="1" x14ac:dyDescent="0.45"/>
    <row r="150" s="1" customFormat="1" x14ac:dyDescent="0.45"/>
    <row r="151" s="1" customFormat="1" x14ac:dyDescent="0.45"/>
    <row r="152" s="1" customFormat="1" x14ac:dyDescent="0.45"/>
    <row r="153" s="1" customFormat="1" x14ac:dyDescent="0.45"/>
    <row r="154" s="1" customFormat="1" x14ac:dyDescent="0.45"/>
    <row r="155" s="1" customFormat="1" x14ac:dyDescent="0.45"/>
    <row r="156" s="1" customFormat="1" x14ac:dyDescent="0.45"/>
    <row r="157" s="1" customFormat="1" x14ac:dyDescent="0.45"/>
    <row r="158" s="1" customFormat="1" x14ac:dyDescent="0.45"/>
    <row r="159" s="1" customFormat="1" x14ac:dyDescent="0.45"/>
    <row r="160" s="1" customFormat="1" x14ac:dyDescent="0.45"/>
    <row r="161" s="1" customFormat="1" x14ac:dyDescent="0.45"/>
    <row r="162" s="1" customFormat="1" x14ac:dyDescent="0.45"/>
    <row r="163" s="1" customFormat="1" x14ac:dyDescent="0.45"/>
    <row r="164" s="1" customFormat="1" x14ac:dyDescent="0.45"/>
    <row r="165" s="1" customFormat="1" x14ac:dyDescent="0.45"/>
    <row r="166" s="1" customFormat="1" x14ac:dyDescent="0.45"/>
    <row r="167" s="1" customFormat="1" x14ac:dyDescent="0.45"/>
    <row r="168" s="1" customFormat="1" x14ac:dyDescent="0.45"/>
    <row r="169" s="1" customFormat="1" x14ac:dyDescent="0.45"/>
    <row r="170" s="1" customFormat="1" x14ac:dyDescent="0.45"/>
    <row r="171" s="1" customFormat="1" x14ac:dyDescent="0.45"/>
    <row r="172" s="1" customFormat="1" x14ac:dyDescent="0.45"/>
    <row r="173" s="1" customFormat="1" x14ac:dyDescent="0.45"/>
    <row r="174" s="1" customFormat="1" x14ac:dyDescent="0.45"/>
    <row r="175" s="1" customFormat="1" x14ac:dyDescent="0.45"/>
    <row r="176" s="1" customFormat="1" x14ac:dyDescent="0.45"/>
    <row r="177" s="1" customFormat="1" x14ac:dyDescent="0.45"/>
    <row r="178" s="1" customFormat="1" x14ac:dyDescent="0.45"/>
    <row r="179" s="1" customFormat="1" x14ac:dyDescent="0.45"/>
    <row r="180" s="1" customFormat="1" x14ac:dyDescent="0.45"/>
    <row r="181" s="1" customFormat="1" x14ac:dyDescent="0.45"/>
    <row r="182" s="1" customFormat="1" x14ac:dyDescent="0.45"/>
    <row r="183" s="1" customFormat="1" x14ac:dyDescent="0.45"/>
    <row r="184" s="1" customFormat="1" x14ac:dyDescent="0.45"/>
    <row r="185" s="1" customFormat="1" x14ac:dyDescent="0.45"/>
    <row r="186" s="1" customFormat="1" x14ac:dyDescent="0.45"/>
    <row r="187" s="1" customFormat="1" x14ac:dyDescent="0.45"/>
    <row r="188" s="1" customFormat="1" x14ac:dyDescent="0.45"/>
    <row r="189" s="1" customFormat="1" x14ac:dyDescent="0.45"/>
    <row r="190" s="1" customFormat="1" x14ac:dyDescent="0.45"/>
    <row r="191" s="1" customFormat="1" x14ac:dyDescent="0.45"/>
    <row r="192" s="1" customFormat="1" x14ac:dyDescent="0.45"/>
    <row r="193" s="1" customFormat="1" x14ac:dyDescent="0.45"/>
    <row r="194" s="1" customFormat="1" x14ac:dyDescent="0.45"/>
    <row r="195" s="1" customFormat="1" x14ac:dyDescent="0.45"/>
    <row r="196" s="1" customFormat="1" x14ac:dyDescent="0.45"/>
    <row r="197" s="1" customFormat="1" x14ac:dyDescent="0.45"/>
    <row r="198" s="1" customFormat="1" x14ac:dyDescent="0.45"/>
    <row r="199" s="1" customFormat="1" x14ac:dyDescent="0.45"/>
    <row r="200" s="1" customFormat="1" x14ac:dyDescent="0.45"/>
    <row r="201" s="1" customFormat="1" x14ac:dyDescent="0.45"/>
    <row r="202" s="1" customFormat="1" x14ac:dyDescent="0.45"/>
    <row r="203" s="1" customFormat="1" x14ac:dyDescent="0.45"/>
    <row r="204" s="1" customFormat="1" x14ac:dyDescent="0.45"/>
    <row r="205" s="1" customFormat="1" x14ac:dyDescent="0.45"/>
    <row r="206" s="1" customFormat="1" x14ac:dyDescent="0.45"/>
    <row r="207" s="1" customFormat="1" x14ac:dyDescent="0.45"/>
    <row r="208" s="1" customFormat="1" x14ac:dyDescent="0.45"/>
    <row r="209" s="1" customFormat="1" x14ac:dyDescent="0.45"/>
    <row r="210" s="1" customFormat="1" x14ac:dyDescent="0.45"/>
    <row r="211" s="1" customFormat="1" x14ac:dyDescent="0.45"/>
    <row r="212" s="1" customFormat="1" x14ac:dyDescent="0.45"/>
    <row r="213" s="1" customFormat="1" x14ac:dyDescent="0.45"/>
    <row r="214" s="1" customFormat="1" x14ac:dyDescent="0.45"/>
    <row r="215" s="1" customFormat="1" x14ac:dyDescent="0.45"/>
    <row r="216" s="1" customFormat="1" x14ac:dyDescent="0.45"/>
    <row r="217" s="1" customFormat="1" x14ac:dyDescent="0.45"/>
    <row r="218" s="1" customFormat="1" x14ac:dyDescent="0.45"/>
    <row r="219" s="1" customFormat="1" x14ac:dyDescent="0.45"/>
    <row r="220" s="1" customFormat="1" x14ac:dyDescent="0.45"/>
    <row r="221" s="1" customFormat="1" x14ac:dyDescent="0.45"/>
    <row r="222" s="1" customFormat="1" x14ac:dyDescent="0.45"/>
    <row r="223" s="1" customFormat="1" x14ac:dyDescent="0.45"/>
    <row r="224" s="1" customFormat="1" x14ac:dyDescent="0.45"/>
    <row r="225" s="1" customFormat="1" x14ac:dyDescent="0.45"/>
    <row r="226" s="1" customFormat="1" x14ac:dyDescent="0.45"/>
    <row r="227" s="1" customFormat="1" x14ac:dyDescent="0.45"/>
    <row r="228" s="1" customFormat="1" x14ac:dyDescent="0.45"/>
    <row r="229" s="1" customFormat="1" x14ac:dyDescent="0.45"/>
    <row r="230" s="1" customFormat="1" x14ac:dyDescent="0.45"/>
    <row r="231" s="1" customFormat="1" x14ac:dyDescent="0.45"/>
    <row r="232" s="1" customFormat="1" x14ac:dyDescent="0.45"/>
    <row r="233" s="1" customFormat="1" x14ac:dyDescent="0.45"/>
    <row r="234" s="1" customFormat="1" x14ac:dyDescent="0.45"/>
  </sheetData>
  <sheetProtection algorithmName="SHA-512" hashValue="YgP014j8heyAzA1aQfh0BLgJGWOHnsOgukIAf08TX/hhb2lK0NqpEfLmbpxI1K4OgzQN2aQuGgegt+1snfHoCQ==" saltValue="8M1DfXXZ90Cr2TT55VjK5g==" spinCount="100000" sheet="1" objects="1" scenarios="1"/>
  <mergeCells count="10">
    <mergeCell ref="B38:I38"/>
    <mergeCell ref="B4:I7"/>
    <mergeCell ref="B14:I14"/>
    <mergeCell ref="B20:I20"/>
    <mergeCell ref="B31:I31"/>
    <mergeCell ref="D36:I36"/>
    <mergeCell ref="D35:F35"/>
    <mergeCell ref="D32:F32"/>
    <mergeCell ref="D33:F33"/>
    <mergeCell ref="D34:F34"/>
  </mergeCells>
  <pageMargins left="0.7" right="0.7" top="0.75" bottom="0.75" header="0.3" footer="0.3"/>
  <pageSetup paperSize="9" orientation="portrait" r:id="rId1"/>
  <headerFooter>
    <oddFooter>&amp;C_x000D_&amp;1#&amp;"Calibri"&amp;10&amp;K000000 [UNCLASSIFIED]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B0B4C-AE8F-4B2A-BB95-00223D4D8BE2}">
  <sheetPr>
    <tabColor rgb="FFFFCC00"/>
  </sheetPr>
  <dimension ref="A1:CF233"/>
  <sheetViews>
    <sheetView zoomScale="70" zoomScaleNormal="70" workbookViewId="0"/>
  </sheetViews>
  <sheetFormatPr defaultRowHeight="14.25" x14ac:dyDescent="0.45"/>
  <cols>
    <col min="2" max="2" width="78.3984375" customWidth="1"/>
    <col min="3" max="3" width="23.3984375" customWidth="1"/>
    <col min="4" max="4" width="10" customWidth="1"/>
    <col min="5" max="5" width="16.59765625" bestFit="1" customWidth="1"/>
    <col min="6" max="6" width="13.265625" customWidth="1"/>
    <col min="7" max="7" width="22.3984375" customWidth="1"/>
    <col min="8" max="8" width="18.86328125" bestFit="1" customWidth="1"/>
    <col min="9" max="9" width="15.86328125" customWidth="1"/>
    <col min="10" max="10" width="15.59765625" bestFit="1" customWidth="1"/>
    <col min="11" max="16" width="15.3984375" bestFit="1" customWidth="1"/>
    <col min="17" max="20" width="15.3984375" style="1" bestFit="1" customWidth="1"/>
    <col min="21" max="21" width="15.59765625" style="1" bestFit="1" customWidth="1"/>
    <col min="22" max="22" width="12" style="1" customWidth="1"/>
    <col min="23" max="28" width="9.1328125" style="1"/>
  </cols>
  <sheetData>
    <row r="1" spans="1:84" x14ac:dyDescent="0.45">
      <c r="A1" s="1"/>
      <c r="B1" s="91"/>
      <c r="C1" s="91"/>
      <c r="D1" s="91"/>
      <c r="E1" s="91"/>
      <c r="F1" s="91"/>
      <c r="G1" s="91"/>
      <c r="H1" s="91"/>
      <c r="I1" s="91"/>
      <c r="J1" s="91"/>
      <c r="K1" s="91"/>
      <c r="L1" s="91"/>
      <c r="M1" s="91"/>
      <c r="N1" s="91"/>
      <c r="O1" s="91"/>
      <c r="P1" s="91"/>
      <c r="Q1" s="91"/>
      <c r="R1" s="91"/>
      <c r="S1" s="91"/>
      <c r="T1" s="91"/>
      <c r="U1" s="9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ht="14.25" customHeight="1" x14ac:dyDescent="0.45">
      <c r="A2" s="1"/>
      <c r="B2" s="681" t="s">
        <v>56</v>
      </c>
      <c r="C2" s="681"/>
      <c r="D2" s="681"/>
      <c r="E2" s="681"/>
      <c r="F2" s="681"/>
      <c r="G2" s="681"/>
      <c r="H2" s="681"/>
      <c r="I2" s="681"/>
      <c r="J2" s="681"/>
      <c r="K2" s="91"/>
      <c r="L2" s="91"/>
      <c r="M2" s="91"/>
      <c r="N2" s="91"/>
      <c r="O2" s="91"/>
      <c r="P2" s="91"/>
      <c r="Q2" s="91"/>
      <c r="R2" s="91"/>
      <c r="S2" s="91"/>
      <c r="T2" s="91"/>
      <c r="U2" s="9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ht="14.25" customHeight="1" x14ac:dyDescent="0.45">
      <c r="A3" s="1"/>
      <c r="B3" s="681"/>
      <c r="C3" s="681"/>
      <c r="D3" s="681"/>
      <c r="E3" s="681"/>
      <c r="F3" s="681"/>
      <c r="G3" s="681"/>
      <c r="H3" s="681"/>
      <c r="I3" s="681"/>
      <c r="J3" s="681"/>
      <c r="K3" s="91"/>
      <c r="L3" s="91"/>
      <c r="M3" s="91"/>
      <c r="N3" s="91"/>
      <c r="O3" s="91"/>
      <c r="P3" s="91"/>
      <c r="Q3" s="91"/>
      <c r="R3" s="91"/>
      <c r="S3" s="91"/>
      <c r="T3" s="91"/>
      <c r="U3" s="9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4.25" customHeight="1" x14ac:dyDescent="0.45">
      <c r="A4" s="1"/>
      <c r="B4" s="681"/>
      <c r="C4" s="681"/>
      <c r="D4" s="681"/>
      <c r="E4" s="681"/>
      <c r="F4" s="681"/>
      <c r="G4" s="681"/>
      <c r="H4" s="681"/>
      <c r="I4" s="681"/>
      <c r="J4" s="681"/>
      <c r="K4" s="91"/>
      <c r="L4" s="91"/>
      <c r="M4" s="91"/>
      <c r="N4" s="91"/>
      <c r="O4" s="91"/>
      <c r="P4" s="91"/>
      <c r="Q4" s="91"/>
      <c r="R4" s="91"/>
      <c r="S4" s="91"/>
      <c r="T4" s="91"/>
      <c r="U4" s="9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19.5" customHeight="1" x14ac:dyDescent="0.45">
      <c r="A5" s="1"/>
      <c r="B5" s="598">
        <f>IF(C25&lt;=14000,
C25*10.5%,
IF(C25&lt;=48000,
(C25-14000)*17.5%+1470,
IF(C25&lt;=70000,
(C25-48000)*30%+7420,
IF(C25&lt;=180000,
(C25-70000)*33%+14020,
(C25-180000)*39%+50320))))</f>
        <v>23920</v>
      </c>
      <c r="C5" s="598">
        <f>IF(C26&lt;=14000,
C26*10.5%,
IF(C26&lt;=48000,
(C26-14000)*17.5%+1470,
IF(C26&lt;=70000,
(C26-48000)*30%+7420,
IF(C26&lt;=180000,
(C26-70000)*33%+14020,
(C26-180000)*39%+50320))))</f>
        <v>0</v>
      </c>
      <c r="D5" s="91"/>
      <c r="E5" s="598">
        <f>IF(C27&lt;=14000,
C27*10.5%,
IF(C27&lt;=48000,
(C27-14000)*17.5%+1470,
IF(C27&lt;=70000,
(C27-48000)*30%+7420,
IF(C27&lt;=180000,
(C27-70000)*33%+14020,
(C27-180000)*39%+50320))))</f>
        <v>0</v>
      </c>
      <c r="F5" s="598">
        <f>IF(C28&lt;=14000,
C28*10.5%,
IF(C28&lt;=48000,
(C28-14000)*17.5%+1470,
IF(C28&lt;=70000,
(C28-48000)*30%+7420,
IF(C28&lt;=180000,
(C28-70000)*33%+14020,
(C28-180000)*39%+50320))))</f>
        <v>0</v>
      </c>
      <c r="G5" s="91"/>
      <c r="H5" s="91"/>
      <c r="I5" s="568"/>
      <c r="J5" s="263"/>
      <c r="K5" s="91"/>
      <c r="L5" s="91"/>
      <c r="M5" s="91"/>
      <c r="N5" s="91"/>
      <c r="O5" s="91"/>
      <c r="P5" s="91"/>
      <c r="Q5" s="91"/>
      <c r="R5" s="91"/>
      <c r="S5" s="91"/>
      <c r="T5" s="91"/>
      <c r="U5" s="9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9.5" customHeight="1" x14ac:dyDescent="0.45">
      <c r="A6" s="1"/>
      <c r="B6" s="570" t="s">
        <v>57</v>
      </c>
      <c r="C6" s="565"/>
      <c r="D6" s="565"/>
      <c r="E6" s="565"/>
      <c r="F6" s="565"/>
      <c r="G6" s="565"/>
      <c r="H6" s="565"/>
      <c r="I6" s="565"/>
      <c r="J6" s="566"/>
      <c r="K6" s="91"/>
      <c r="L6" s="91"/>
      <c r="M6" s="91"/>
      <c r="N6" s="91"/>
      <c r="O6" s="91"/>
      <c r="P6" s="91"/>
      <c r="Q6" s="91"/>
      <c r="R6" s="91"/>
      <c r="S6" s="91"/>
      <c r="T6" s="91"/>
      <c r="U6" s="9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45">
      <c r="A7" s="1"/>
      <c r="B7" s="571" t="s">
        <v>338</v>
      </c>
      <c r="C7" s="263"/>
      <c r="D7" s="263"/>
      <c r="E7" s="263"/>
      <c r="F7" s="263"/>
      <c r="G7" s="263"/>
      <c r="H7" s="263"/>
      <c r="I7" s="263"/>
      <c r="J7" s="569"/>
      <c r="K7" s="91"/>
      <c r="L7" s="91"/>
      <c r="M7" s="91"/>
      <c r="N7" s="91"/>
      <c r="O7" s="91"/>
      <c r="P7" s="91"/>
      <c r="Q7" s="91"/>
      <c r="R7" s="91"/>
      <c r="S7" s="91"/>
      <c r="T7" s="91"/>
      <c r="U7" s="9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45">
      <c r="A8" s="1"/>
      <c r="B8" s="571" t="s">
        <v>58</v>
      </c>
      <c r="C8" s="263"/>
      <c r="D8" s="263"/>
      <c r="E8" s="263"/>
      <c r="F8" s="263"/>
      <c r="G8" s="263"/>
      <c r="H8" s="263"/>
      <c r="I8" s="263"/>
      <c r="J8" s="569"/>
      <c r="K8" s="91"/>
      <c r="L8" s="91"/>
      <c r="M8" s="91"/>
      <c r="N8" s="91"/>
      <c r="O8" s="91"/>
      <c r="P8" s="91"/>
      <c r="Q8" s="91"/>
      <c r="R8" s="91"/>
      <c r="S8" s="91"/>
      <c r="T8" s="91"/>
      <c r="U8" s="9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19.5" customHeight="1" x14ac:dyDescent="0.45">
      <c r="A9" s="1"/>
      <c r="B9" s="571"/>
      <c r="C9" s="254"/>
      <c r="D9" s="254"/>
      <c r="E9" s="254"/>
      <c r="F9" s="254"/>
      <c r="G9" s="358"/>
      <c r="H9" s="254"/>
      <c r="I9" s="254"/>
      <c r="J9" s="3"/>
      <c r="K9" s="1"/>
      <c r="L9" s="1"/>
      <c r="M9" s="1"/>
      <c r="N9" s="1"/>
      <c r="O9" s="1"/>
      <c r="P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45">
      <c r="A10" s="1"/>
      <c r="B10" s="361" t="s">
        <v>59</v>
      </c>
      <c r="C10" s="254"/>
      <c r="D10" s="254"/>
      <c r="E10" s="254"/>
      <c r="F10" s="254"/>
      <c r="G10" s="254"/>
      <c r="H10" s="254"/>
      <c r="I10" s="254"/>
      <c r="J10" s="3"/>
      <c r="K10" s="1"/>
      <c r="L10" s="1"/>
      <c r="M10" s="1"/>
      <c r="N10" s="1"/>
      <c r="O10" s="1"/>
      <c r="P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45">
      <c r="A11" s="1"/>
      <c r="B11" s="359" t="s">
        <v>60</v>
      </c>
      <c r="C11" s="254"/>
      <c r="D11" s="254"/>
      <c r="E11" s="254"/>
      <c r="F11" s="254"/>
      <c r="G11" s="254"/>
      <c r="H11" s="254"/>
      <c r="I11" s="254"/>
      <c r="J11" s="3"/>
      <c r="K11" s="1"/>
      <c r="L11" s="1"/>
      <c r="M11" s="1"/>
      <c r="N11" s="1"/>
      <c r="O11" s="1"/>
      <c r="P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45">
      <c r="A12" s="1"/>
      <c r="B12" s="359" t="s">
        <v>377</v>
      </c>
      <c r="C12" s="254"/>
      <c r="D12" s="254"/>
      <c r="E12" s="254"/>
      <c r="F12" s="254"/>
      <c r="G12" s="254"/>
      <c r="H12" s="254"/>
      <c r="I12" s="254"/>
      <c r="J12" s="3"/>
      <c r="K12" s="1"/>
      <c r="L12" s="1"/>
      <c r="M12" s="1"/>
      <c r="N12" s="1"/>
      <c r="O12" s="1"/>
      <c r="P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45">
      <c r="A13" s="1"/>
      <c r="B13" s="360"/>
      <c r="C13" s="12"/>
      <c r="D13" s="12"/>
      <c r="E13" s="12"/>
      <c r="F13" s="12"/>
      <c r="G13" s="12"/>
      <c r="H13" s="12"/>
      <c r="I13" s="12"/>
      <c r="J13" s="17"/>
      <c r="K13" s="1"/>
      <c r="L13" s="1"/>
      <c r="M13" s="1"/>
      <c r="N13" s="1"/>
      <c r="O13" s="1"/>
      <c r="P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45">
      <c r="A14" s="1"/>
      <c r="B14" s="1"/>
      <c r="C14" s="1"/>
      <c r="D14" s="1"/>
      <c r="E14" s="1"/>
      <c r="F14" s="1"/>
      <c r="G14" s="1"/>
      <c r="H14" s="1"/>
      <c r="I14" s="254"/>
      <c r="J14" s="1"/>
      <c r="K14" s="1"/>
      <c r="L14" s="1"/>
      <c r="M14" s="1"/>
      <c r="N14" s="1"/>
      <c r="O14" s="1"/>
      <c r="P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ht="14.65" thickBot="1" x14ac:dyDescent="0.5">
      <c r="A15" s="1"/>
      <c r="B15" s="298" t="s">
        <v>347</v>
      </c>
      <c r="C15" s="1"/>
      <c r="D15" s="1"/>
      <c r="E15" s="1"/>
      <c r="F15" s="1"/>
      <c r="G15" s="1"/>
      <c r="H15" s="1"/>
      <c r="I15" s="254"/>
      <c r="J15" s="1"/>
      <c r="K15" s="1"/>
      <c r="L15" s="1"/>
      <c r="M15" s="1"/>
      <c r="N15" s="1"/>
      <c r="O15" s="1"/>
      <c r="P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15.75" x14ac:dyDescent="0.5">
      <c r="A16" s="1"/>
      <c r="B16" s="1"/>
      <c r="C16" s="1"/>
      <c r="D16" s="1"/>
      <c r="E16" s="1"/>
      <c r="F16" s="1"/>
      <c r="G16" s="683" t="s">
        <v>10</v>
      </c>
      <c r="H16" s="684"/>
      <c r="I16" s="684"/>
      <c r="J16" s="685"/>
      <c r="K16" s="1"/>
      <c r="L16" s="1"/>
      <c r="M16" s="1"/>
      <c r="N16" s="1"/>
      <c r="O16" s="1"/>
      <c r="P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45">
      <c r="A17" s="1"/>
      <c r="B17" s="267" t="s">
        <v>61</v>
      </c>
      <c r="C17" s="1"/>
      <c r="D17" s="1"/>
      <c r="E17" s="1"/>
      <c r="G17" s="490" t="s">
        <v>428</v>
      </c>
      <c r="H17" s="151"/>
      <c r="I17" s="254"/>
      <c r="J17" s="491">
        <f>(((E65+E64)*52)+-H57)/E32</f>
        <v>0.2189065248858085</v>
      </c>
      <c r="K17" s="1"/>
      <c r="L17" s="1"/>
      <c r="M17" s="1"/>
      <c r="N17" s="1"/>
      <c r="O17" s="1"/>
      <c r="P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45">
      <c r="A18" s="1"/>
      <c r="B18" s="320" t="s">
        <v>349</v>
      </c>
      <c r="C18" s="682"/>
      <c r="D18" s="682"/>
      <c r="E18" s="682"/>
      <c r="F18" s="1"/>
      <c r="G18" s="490" t="s">
        <v>429</v>
      </c>
      <c r="H18" s="319"/>
      <c r="I18" s="254"/>
      <c r="J18" s="492">
        <f>H52</f>
        <v>0.83636363636363631</v>
      </c>
      <c r="K18" s="1"/>
      <c r="L18" s="1"/>
      <c r="M18" s="1"/>
      <c r="N18" s="1"/>
      <c r="O18" s="1"/>
      <c r="P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45">
      <c r="A19" s="1"/>
      <c r="B19" s="320" t="s">
        <v>63</v>
      </c>
      <c r="C19" s="682"/>
      <c r="D19" s="682"/>
      <c r="E19" s="682"/>
      <c r="F19" s="254"/>
      <c r="G19" s="490" t="s">
        <v>397</v>
      </c>
      <c r="H19" s="254"/>
      <c r="I19" s="254"/>
      <c r="J19" s="635" t="str">
        <f>IF(E83&gt;0,"Yes", "No")</f>
        <v>Yes</v>
      </c>
      <c r="K19" s="1"/>
      <c r="L19" s="1"/>
      <c r="M19" s="1"/>
      <c r="N19" s="1"/>
      <c r="O19" s="1"/>
      <c r="P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45">
      <c r="A20" s="1"/>
      <c r="B20" s="320" t="s">
        <v>350</v>
      </c>
      <c r="C20" s="682"/>
      <c r="D20" s="682"/>
      <c r="E20" s="682"/>
      <c r="F20" s="254"/>
      <c r="G20" s="490"/>
      <c r="H20" s="254"/>
      <c r="I20" s="254"/>
      <c r="J20" s="493"/>
      <c r="K20" s="1"/>
      <c r="L20" s="1"/>
      <c r="M20" s="1"/>
      <c r="N20" s="1"/>
      <c r="O20" s="1"/>
      <c r="P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45">
      <c r="A21" s="1"/>
      <c r="B21" s="320" t="s">
        <v>351</v>
      </c>
      <c r="C21" s="680" t="s">
        <v>310</v>
      </c>
      <c r="D21" s="680"/>
      <c r="E21" s="680"/>
      <c r="F21" s="254"/>
      <c r="G21" s="490" t="s">
        <v>66</v>
      </c>
      <c r="H21" s="254"/>
      <c r="I21" s="254"/>
      <c r="J21" s="494">
        <f>E59+E64+E65</f>
        <v>420.97408631886253</v>
      </c>
      <c r="L21" s="1"/>
      <c r="M21" s="1"/>
      <c r="N21" s="1"/>
      <c r="O21" s="1"/>
      <c r="P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45">
      <c r="A22" s="1"/>
      <c r="B22" s="320" t="s">
        <v>352</v>
      </c>
      <c r="C22" s="682" t="s">
        <v>315</v>
      </c>
      <c r="D22" s="682"/>
      <c r="E22" s="682"/>
      <c r="F22" s="263"/>
      <c r="G22" s="490" t="s">
        <v>68</v>
      </c>
      <c r="H22" s="254"/>
      <c r="I22" s="254"/>
      <c r="J22" s="494">
        <f>C119</f>
        <v>500</v>
      </c>
      <c r="K22" s="1"/>
      <c r="L22" s="1"/>
      <c r="M22" s="1"/>
      <c r="N22" s="1"/>
      <c r="O22" s="1"/>
      <c r="P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ht="14.65" thickBot="1" x14ac:dyDescent="0.5">
      <c r="A23" s="1"/>
      <c r="B23" s="320" t="s">
        <v>401</v>
      </c>
      <c r="C23" s="488"/>
      <c r="D23" s="488"/>
      <c r="E23" s="488"/>
      <c r="F23" s="91"/>
      <c r="G23" s="495" t="s">
        <v>337</v>
      </c>
      <c r="H23" s="496"/>
      <c r="I23" s="496"/>
      <c r="J23" s="501" t="str">
        <f>F128</f>
        <v>YEAR 13</v>
      </c>
      <c r="K23" s="1"/>
      <c r="L23" s="1"/>
      <c r="M23" s="1"/>
      <c r="N23" s="1"/>
      <c r="O23" s="1"/>
      <c r="P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45">
      <c r="A24" s="1"/>
      <c r="B24" s="320"/>
      <c r="C24" s="499" t="s">
        <v>336</v>
      </c>
      <c r="D24" s="689" t="s">
        <v>335</v>
      </c>
      <c r="E24" s="689"/>
      <c r="F24" s="91"/>
      <c r="G24" s="1"/>
      <c r="H24" s="254"/>
      <c r="I24" s="254"/>
      <c r="J24" s="481"/>
      <c r="K24" s="1"/>
      <c r="L24" s="1"/>
      <c r="M24" s="1"/>
      <c r="N24" s="1"/>
      <c r="O24" s="1"/>
      <c r="P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45">
      <c r="A25" s="1"/>
      <c r="B25" s="489" t="s">
        <v>331</v>
      </c>
      <c r="C25" s="500">
        <v>100000</v>
      </c>
      <c r="D25" s="690">
        <v>0.03</v>
      </c>
      <c r="E25" s="690"/>
      <c r="F25" s="599">
        <f>C25*0.0139</f>
        <v>1390</v>
      </c>
      <c r="G25" s="1"/>
      <c r="H25" s="254"/>
      <c r="I25" s="254"/>
      <c r="J25" s="481"/>
      <c r="K25" s="1"/>
      <c r="L25" s="1"/>
      <c r="M25" s="1"/>
      <c r="N25" s="1"/>
      <c r="O25" s="1"/>
      <c r="P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45">
      <c r="A26" s="1"/>
      <c r="B26" s="489" t="s">
        <v>332</v>
      </c>
      <c r="C26" s="500">
        <v>0</v>
      </c>
      <c r="D26" s="690">
        <v>0</v>
      </c>
      <c r="E26" s="690"/>
      <c r="F26" s="599">
        <f t="shared" ref="F26:F28" si="0">C26*0.0139</f>
        <v>0</v>
      </c>
      <c r="G26" s="1"/>
      <c r="H26" s="254"/>
      <c r="I26" s="254"/>
      <c r="J26" s="481"/>
      <c r="K26" s="1"/>
      <c r="L26" s="1"/>
      <c r="M26" s="1"/>
      <c r="N26" s="1"/>
      <c r="O26" s="1"/>
      <c r="P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45">
      <c r="A27" s="1"/>
      <c r="B27" s="489" t="s">
        <v>333</v>
      </c>
      <c r="C27" s="500">
        <v>0</v>
      </c>
      <c r="D27" s="690">
        <v>0</v>
      </c>
      <c r="E27" s="690"/>
      <c r="F27" s="599">
        <f t="shared" si="0"/>
        <v>0</v>
      </c>
      <c r="G27" s="1"/>
      <c r="H27" s="254"/>
      <c r="I27" s="254"/>
      <c r="J27" s="481"/>
      <c r="K27" s="1"/>
      <c r="L27" s="1"/>
      <c r="M27" s="1"/>
      <c r="N27" s="1"/>
      <c r="O27" s="1"/>
      <c r="P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45">
      <c r="A28" s="1"/>
      <c r="B28" s="489" t="s">
        <v>334</v>
      </c>
      <c r="C28" s="500">
        <v>0</v>
      </c>
      <c r="D28" s="690">
        <v>0</v>
      </c>
      <c r="E28" s="690"/>
      <c r="F28" s="599">
        <f t="shared" si="0"/>
        <v>0</v>
      </c>
      <c r="G28" s="1"/>
      <c r="H28" s="254"/>
      <c r="I28" s="254"/>
      <c r="J28" s="481"/>
      <c r="K28" s="1"/>
      <c r="L28" s="1"/>
      <c r="M28" s="1"/>
      <c r="N28" s="1"/>
      <c r="O28" s="1"/>
      <c r="P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45">
      <c r="A29" s="1"/>
      <c r="B29" s="506" t="s">
        <v>70</v>
      </c>
      <c r="C29" s="507"/>
      <c r="D29" s="508"/>
      <c r="E29" s="508"/>
      <c r="F29" s="91"/>
      <c r="G29" s="85"/>
      <c r="H29" s="348"/>
      <c r="I29" s="1"/>
      <c r="J29" s="1"/>
      <c r="K29" s="1"/>
      <c r="L29" s="1"/>
      <c r="M29" s="1"/>
      <c r="N29" s="1"/>
      <c r="O29" s="1"/>
      <c r="P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45">
      <c r="A30" s="1"/>
      <c r="B30" s="515" t="s">
        <v>353</v>
      </c>
      <c r="C30" s="687"/>
      <c r="D30" s="687"/>
      <c r="E30" s="509" t="s">
        <v>69</v>
      </c>
      <c r="F30" s="600">
        <f>IF($E$30="Yes",0,1)</f>
        <v>0</v>
      </c>
      <c r="G30" s="85"/>
      <c r="H30" s="85"/>
      <c r="I30" s="85"/>
      <c r="J30" s="85"/>
      <c r="K30" s="1"/>
      <c r="L30" s="1"/>
      <c r="M30" s="1"/>
      <c r="N30" s="1"/>
      <c r="O30" s="1"/>
      <c r="P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45">
      <c r="A31" s="1"/>
      <c r="B31" s="515" t="s">
        <v>354</v>
      </c>
      <c r="C31" s="687"/>
      <c r="D31" s="687"/>
      <c r="E31" s="509" t="s">
        <v>71</v>
      </c>
      <c r="F31" s="84">
        <f>IF($E$31="No",0,1)</f>
        <v>0</v>
      </c>
      <c r="G31" s="85"/>
      <c r="H31" s="85"/>
      <c r="I31" s="85"/>
      <c r="J31" s="85"/>
      <c r="K31" s="1"/>
      <c r="L31" s="1"/>
      <c r="M31" s="1"/>
      <c r="N31" s="1"/>
      <c r="O31" s="1"/>
      <c r="P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ht="29.25" customHeight="1" x14ac:dyDescent="0.45">
      <c r="A32" s="1"/>
      <c r="B32" s="516" t="s">
        <v>355</v>
      </c>
      <c r="C32" s="510" t="str">
        <f>IF($E$32&lt;=130000,"Yes","No")</f>
        <v>Yes</v>
      </c>
      <c r="D32" s="511"/>
      <c r="E32" s="512">
        <f>SUM(C25:C28)</f>
        <v>100000</v>
      </c>
      <c r="F32" s="484">
        <f>IF($C$32="Yes",0,1)</f>
        <v>0</v>
      </c>
      <c r="G32" s="487"/>
      <c r="H32" s="85"/>
      <c r="I32" s="85"/>
      <c r="J32" s="85"/>
      <c r="K32" s="1"/>
      <c r="L32" s="1"/>
      <c r="M32" s="1"/>
      <c r="N32" s="1"/>
      <c r="O32" s="1"/>
      <c r="P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s="254" customFormat="1" x14ac:dyDescent="0.45">
      <c r="G33" s="85"/>
      <c r="H33" s="85"/>
      <c r="I33" s="348"/>
      <c r="J33" s="348"/>
    </row>
    <row r="34" spans="1:84" s="254" customFormat="1" x14ac:dyDescent="0.45">
      <c r="B34" s="267" t="s">
        <v>398</v>
      </c>
      <c r="C34" s="319"/>
      <c r="D34" s="319"/>
      <c r="E34" s="319"/>
      <c r="G34" s="85"/>
      <c r="H34" s="85"/>
      <c r="I34" s="348"/>
      <c r="J34" s="348"/>
    </row>
    <row r="35" spans="1:84" x14ac:dyDescent="0.45">
      <c r="A35" s="1"/>
      <c r="B35" s="517" t="s">
        <v>72</v>
      </c>
      <c r="C35" s="507"/>
      <c r="D35" s="507"/>
      <c r="E35" s="513">
        <v>500000</v>
      </c>
      <c r="F35" s="1"/>
      <c r="G35" s="85"/>
      <c r="H35" s="349"/>
      <c r="I35" s="85"/>
      <c r="J35" s="85"/>
      <c r="K35" s="1"/>
      <c r="L35" s="1"/>
      <c r="M35" s="1"/>
      <c r="N35" s="1"/>
      <c r="O35" s="1"/>
      <c r="P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45">
      <c r="A36" s="1"/>
      <c r="B36" s="517" t="s">
        <v>399</v>
      </c>
      <c r="C36" s="686">
        <v>0.55000000000000004</v>
      </c>
      <c r="D36" s="686"/>
      <c r="E36" s="514">
        <f>C36*E35</f>
        <v>275000</v>
      </c>
      <c r="F36" s="1"/>
      <c r="G36" s="85"/>
      <c r="H36" s="85"/>
      <c r="I36" s="85"/>
      <c r="J36" s="85"/>
      <c r="K36" s="1"/>
      <c r="L36" s="1"/>
      <c r="M36" s="1"/>
      <c r="N36" s="1"/>
      <c r="O36" s="1"/>
      <c r="P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45">
      <c r="A37" s="61"/>
      <c r="B37" s="518" t="s">
        <v>400</v>
      </c>
      <c r="C37" s="688">
        <f>100%-C36</f>
        <v>0.44999999999999996</v>
      </c>
      <c r="D37" s="688"/>
      <c r="E37" s="514">
        <f>$C$37*$E$35</f>
        <v>224999.99999999997</v>
      </c>
      <c r="F37" s="484">
        <f>IF($C$37&lt;=45%,0,1)</f>
        <v>0</v>
      </c>
      <c r="G37" s="85"/>
      <c r="H37" s="85"/>
      <c r="I37" s="85"/>
      <c r="J37" s="85"/>
      <c r="K37" s="1"/>
      <c r="L37" s="1"/>
      <c r="M37" s="1"/>
      <c r="N37" s="1"/>
      <c r="O37" s="1"/>
      <c r="P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45">
      <c r="A38" s="1"/>
      <c r="B38" s="264"/>
      <c r="C38" s="264"/>
      <c r="D38" s="264"/>
      <c r="E38" s="301"/>
      <c r="F38" s="1"/>
      <c r="G38" s="85"/>
      <c r="H38" s="85"/>
      <c r="I38" s="85"/>
      <c r="J38" s="85"/>
      <c r="K38" s="1"/>
      <c r="L38" s="1"/>
      <c r="M38" s="1"/>
      <c r="N38" s="1"/>
      <c r="O38" s="1"/>
      <c r="P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45">
      <c r="A39" s="1"/>
      <c r="B39" s="343" t="s">
        <v>73</v>
      </c>
      <c r="C39" s="264"/>
      <c r="D39" s="264"/>
      <c r="E39" s="301"/>
      <c r="F39" s="1"/>
      <c r="G39" s="85"/>
      <c r="H39" s="85"/>
      <c r="I39" s="85"/>
      <c r="J39" s="85"/>
      <c r="K39" s="1"/>
      <c r="L39" s="1"/>
      <c r="M39" s="1"/>
      <c r="N39" s="1"/>
      <c r="O39" s="1"/>
      <c r="P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45">
      <c r="A40" s="1"/>
      <c r="B40" s="519" t="s">
        <v>339</v>
      </c>
      <c r="C40" s="264"/>
      <c r="D40" s="264"/>
      <c r="E40" s="301"/>
      <c r="F40" s="1"/>
      <c r="G40" s="85"/>
      <c r="H40" s="85"/>
      <c r="I40" s="85"/>
      <c r="J40" s="85"/>
      <c r="K40" s="1"/>
      <c r="L40" s="1"/>
      <c r="M40" s="1"/>
      <c r="N40" s="1"/>
      <c r="O40" s="1"/>
      <c r="P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ht="14.45" customHeight="1" x14ac:dyDescent="0.45">
      <c r="A41" s="1"/>
      <c r="B41" s="342" t="s">
        <v>74</v>
      </c>
      <c r="C41" s="263"/>
      <c r="D41" s="263"/>
      <c r="E41" s="255">
        <v>0</v>
      </c>
      <c r="F41" s="1"/>
      <c r="G41" s="85"/>
      <c r="H41" s="85"/>
      <c r="I41" s="85"/>
      <c r="J41" s="85"/>
      <c r="K41" s="1"/>
      <c r="L41" s="1"/>
      <c r="M41" s="1"/>
      <c r="N41" s="1"/>
      <c r="O41" s="1"/>
      <c r="P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ht="14.45" customHeight="1" x14ac:dyDescent="0.45">
      <c r="A42" s="1"/>
      <c r="B42" s="342" t="s">
        <v>75</v>
      </c>
      <c r="C42" s="263"/>
      <c r="D42" s="263"/>
      <c r="E42" s="255">
        <v>20000</v>
      </c>
      <c r="F42" s="1"/>
      <c r="G42" s="1"/>
      <c r="H42" s="1"/>
      <c r="I42" s="1"/>
      <c r="J42" s="1"/>
      <c r="K42" s="1"/>
      <c r="L42" s="1"/>
      <c r="M42" s="1"/>
      <c r="N42" s="1"/>
      <c r="O42" s="1"/>
      <c r="P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ht="14.45" customHeight="1" x14ac:dyDescent="0.45">
      <c r="A43" s="1"/>
      <c r="B43" s="342" t="s">
        <v>431</v>
      </c>
      <c r="C43" s="263"/>
      <c r="D43" s="263"/>
      <c r="E43" s="255">
        <v>20000</v>
      </c>
      <c r="F43" s="1"/>
      <c r="G43" s="1"/>
      <c r="H43" s="1"/>
      <c r="I43" s="1"/>
      <c r="J43" s="1"/>
      <c r="K43" s="1"/>
      <c r="L43" s="1"/>
      <c r="M43" s="1"/>
      <c r="N43" s="1"/>
      <c r="O43" s="1"/>
      <c r="P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ht="14.45" customHeight="1" x14ac:dyDescent="0.45">
      <c r="A44" s="1"/>
      <c r="B44" s="342" t="s">
        <v>76</v>
      </c>
      <c r="C44" s="263"/>
      <c r="D44" s="263"/>
      <c r="E44" s="255">
        <v>5000</v>
      </c>
      <c r="F44" s="1"/>
      <c r="G44" s="1"/>
      <c r="H44" s="1"/>
      <c r="I44" s="1"/>
      <c r="J44" s="1"/>
      <c r="K44" s="1"/>
      <c r="L44" s="1"/>
      <c r="M44" s="1"/>
      <c r="N44" s="1"/>
      <c r="O44" s="1"/>
      <c r="P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45">
      <c r="A45" s="1"/>
      <c r="B45" s="406" t="s">
        <v>77</v>
      </c>
      <c r="C45" s="263"/>
      <c r="D45" s="263"/>
      <c r="E45" s="256">
        <f>SUM($E$41:$E$44)</f>
        <v>45000</v>
      </c>
      <c r="F45" s="1"/>
      <c r="G45" s="1"/>
      <c r="H45" s="1"/>
      <c r="I45" s="1"/>
      <c r="J45" s="1"/>
      <c r="K45" s="1"/>
      <c r="L45" s="1"/>
      <c r="M45" s="1"/>
      <c r="N45" s="1"/>
      <c r="O45" s="1"/>
      <c r="P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hidden="1" x14ac:dyDescent="0.45">
      <c r="A46" s="1"/>
      <c r="B46" s="406" t="s">
        <v>78</v>
      </c>
      <c r="C46" s="344"/>
      <c r="D46" s="344"/>
      <c r="E46" s="345">
        <f>$E$36-$E$45</f>
        <v>230000</v>
      </c>
      <c r="F46" s="1"/>
      <c r="G46" s="1"/>
      <c r="H46" s="1"/>
      <c r="I46" s="1"/>
      <c r="J46" s="1"/>
      <c r="K46" s="1"/>
      <c r="L46" s="1"/>
      <c r="M46" s="1"/>
      <c r="N46" s="1"/>
      <c r="O46" s="1"/>
      <c r="P46" s="1"/>
      <c r="AC46" s="1"/>
      <c r="AD46" s="1"/>
      <c r="AE46" s="1"/>
      <c r="AF46" s="1"/>
      <c r="AG46" s="1"/>
      <c r="AH46" s="1"/>
      <c r="AI46" s="1"/>
      <c r="AJ46" s="1"/>
      <c r="AK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45">
      <c r="A47" s="254"/>
      <c r="B47" s="264"/>
      <c r="C47" s="315"/>
      <c r="D47" s="315"/>
      <c r="E47" s="301"/>
      <c r="F47" s="254"/>
      <c r="G47" s="254"/>
      <c r="H47" s="254"/>
      <c r="I47" s="254"/>
      <c r="J47" s="1"/>
      <c r="K47" s="1"/>
      <c r="L47" s="1"/>
      <c r="M47" s="1"/>
      <c r="N47" s="1"/>
      <c r="O47" s="1"/>
      <c r="P47" s="1"/>
      <c r="AC47" s="1"/>
      <c r="AD47" s="1"/>
      <c r="AE47" s="1"/>
      <c r="AF47" s="1"/>
      <c r="AG47" s="1"/>
      <c r="AH47" s="1"/>
      <c r="AI47" s="1"/>
      <c r="AJ47" s="1"/>
      <c r="AK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45">
      <c r="A48" s="254"/>
      <c r="B48" s="343" t="s">
        <v>430</v>
      </c>
      <c r="C48" s="315"/>
      <c r="D48" s="315"/>
      <c r="E48" s="301"/>
      <c r="F48" s="254"/>
      <c r="G48" s="343" t="s">
        <v>340</v>
      </c>
      <c r="H48" s="254"/>
      <c r="I48" s="254"/>
      <c r="J48" s="1"/>
      <c r="K48" s="1"/>
      <c r="L48" s="1"/>
      <c r="M48" s="1"/>
      <c r="N48" s="1"/>
      <c r="O48" s="1"/>
      <c r="P48" s="1"/>
      <c r="AC48" s="1"/>
      <c r="AD48" s="1"/>
      <c r="AE48" s="1"/>
      <c r="AF48" s="1"/>
      <c r="AG48" s="1"/>
      <c r="AH48" s="1"/>
      <c r="AI48" s="1"/>
      <c r="AJ48" s="1"/>
      <c r="AK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45">
      <c r="A49" s="254"/>
      <c r="B49" s="519" t="s">
        <v>79</v>
      </c>
      <c r="C49" s="315"/>
      <c r="D49" s="315"/>
      <c r="E49" s="301"/>
      <c r="F49" s="254"/>
      <c r="G49" s="519" t="s">
        <v>341</v>
      </c>
      <c r="H49" s="254"/>
      <c r="I49" s="254"/>
      <c r="J49" s="1"/>
      <c r="K49" s="1"/>
      <c r="L49" s="1"/>
      <c r="M49" s="1"/>
      <c r="N49" s="1"/>
      <c r="O49" s="1"/>
      <c r="P49" s="1"/>
      <c r="AC49" s="1"/>
      <c r="AD49" s="1"/>
      <c r="AE49" s="1"/>
      <c r="AF49" s="1"/>
      <c r="AG49" s="1"/>
      <c r="AH49" s="1"/>
      <c r="AI49" s="1"/>
      <c r="AJ49" s="1"/>
      <c r="AK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45">
      <c r="A50" s="254"/>
      <c r="B50" s="350"/>
      <c r="C50" s="315"/>
      <c r="D50" s="315"/>
      <c r="E50" s="301"/>
      <c r="F50" s="254"/>
      <c r="G50" s="254"/>
      <c r="H50" s="254"/>
      <c r="I50" s="254"/>
      <c r="J50" s="1"/>
      <c r="K50" s="1"/>
      <c r="L50" s="1"/>
      <c r="M50" s="1"/>
      <c r="N50" s="1"/>
      <c r="O50" s="1"/>
      <c r="P50" s="1"/>
      <c r="AC50" s="1"/>
      <c r="AD50" s="1"/>
      <c r="AE50" s="1"/>
      <c r="AF50" s="1"/>
      <c r="AG50" s="1"/>
      <c r="AH50" s="1"/>
      <c r="AI50" s="1"/>
      <c r="AJ50" s="1"/>
      <c r="AK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45">
      <c r="A51" s="1"/>
      <c r="B51" s="346" t="s">
        <v>80</v>
      </c>
      <c r="C51" s="707"/>
      <c r="D51" s="707"/>
      <c r="E51" s="18" t="s">
        <v>81</v>
      </c>
      <c r="F51" s="1"/>
      <c r="G51" s="520" t="s">
        <v>82</v>
      </c>
      <c r="H51" s="521">
        <f>$E$46</f>
        <v>230000</v>
      </c>
      <c r="I51" s="323"/>
      <c r="J51" s="324"/>
      <c r="K51" s="16"/>
      <c r="L51" s="157"/>
      <c r="M51" s="158"/>
      <c r="N51" s="16"/>
      <c r="O51" s="16"/>
      <c r="P51" s="16"/>
      <c r="AC51" s="1"/>
      <c r="AD51" s="1"/>
      <c r="AE51" s="1"/>
      <c r="AF51" s="1"/>
      <c r="AG51" s="1"/>
      <c r="AH51" s="1"/>
      <c r="AI51" s="1"/>
      <c r="AJ51" s="1"/>
      <c r="AK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45">
      <c r="A52" s="1"/>
      <c r="B52" s="2" t="s">
        <v>348</v>
      </c>
      <c r="C52" s="708"/>
      <c r="D52" s="708"/>
      <c r="E52" s="265">
        <f>((($C$25-SUM($B$5))/52)+(($C$26-SUM($C$5))/52)+(($C$27-SUM($E$5))/52)+(($C$28-SUM($F$5))/52))-(((C25*D25)+(C26*D26)+(C27*D27)+(C28*D28)+(F25+F26+F27+F28))/52)</f>
        <v>1378.6538461538462</v>
      </c>
      <c r="F52" s="1"/>
      <c r="G52" s="154" t="s">
        <v>83</v>
      </c>
      <c r="H52" s="325">
        <f>$H$51/$E$36</f>
        <v>0.83636363636363631</v>
      </c>
      <c r="I52" s="321"/>
      <c r="J52" s="326"/>
      <c r="K52" s="16"/>
      <c r="L52" s="16"/>
      <c r="M52" s="159"/>
      <c r="N52" s="16"/>
      <c r="O52" s="16"/>
      <c r="P52" s="16"/>
      <c r="AC52" s="1"/>
      <c r="AD52" s="1"/>
      <c r="AE52" s="1"/>
      <c r="AF52" s="1"/>
      <c r="AG52" s="1"/>
      <c r="AH52" s="1"/>
      <c r="AI52" s="1"/>
      <c r="AJ52" s="1"/>
      <c r="AK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45">
      <c r="A53" s="1"/>
      <c r="B53" s="2" t="s">
        <v>84</v>
      </c>
      <c r="C53" s="708"/>
      <c r="D53" s="708"/>
      <c r="E53" s="249">
        <v>0</v>
      </c>
      <c r="F53" s="1"/>
      <c r="G53" s="154"/>
      <c r="H53" s="321"/>
      <c r="I53" s="321"/>
      <c r="J53" s="326"/>
      <c r="K53" s="16"/>
      <c r="L53" s="16"/>
      <c r="M53" s="158"/>
      <c r="N53" s="16"/>
      <c r="O53" s="16"/>
      <c r="P53" s="16"/>
      <c r="AC53" s="1"/>
      <c r="AD53" s="1"/>
      <c r="AE53" s="1"/>
      <c r="AF53" s="1"/>
      <c r="AG53" s="1"/>
      <c r="AH53" s="1"/>
      <c r="AI53" s="1"/>
      <c r="AJ53" s="1"/>
      <c r="AK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45">
      <c r="A54" s="1"/>
      <c r="B54" s="114" t="s">
        <v>85</v>
      </c>
      <c r="C54" s="709"/>
      <c r="D54" s="709"/>
      <c r="E54" s="153">
        <f>$E$52+$E$53</f>
        <v>1378.6538461538462</v>
      </c>
      <c r="F54" s="1"/>
      <c r="G54" s="154" t="s">
        <v>86</v>
      </c>
      <c r="H54" s="327">
        <v>6.25E-2</v>
      </c>
      <c r="I54" s="321"/>
      <c r="J54" s="326"/>
      <c r="K54" s="13"/>
      <c r="L54" s="13"/>
      <c r="M54" s="160"/>
      <c r="N54" s="16"/>
      <c r="O54" s="16"/>
      <c r="P54" s="16"/>
      <c r="AC54" s="1"/>
      <c r="AD54" s="1"/>
      <c r="AE54" s="1"/>
      <c r="AF54" s="1"/>
      <c r="AG54" s="1"/>
      <c r="AH54" s="1"/>
      <c r="AI54" s="1"/>
      <c r="AJ54" s="1"/>
      <c r="AK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ht="15.75" x14ac:dyDescent="0.5">
      <c r="A55" s="1"/>
      <c r="B55" s="522" t="s">
        <v>87</v>
      </c>
      <c r="C55" s="531" t="s">
        <v>88</v>
      </c>
      <c r="D55" s="532"/>
      <c r="E55" s="535" t="s">
        <v>81</v>
      </c>
      <c r="F55" s="1"/>
      <c r="G55" s="206" t="s">
        <v>89</v>
      </c>
      <c r="H55" s="328">
        <v>30</v>
      </c>
      <c r="I55" s="329"/>
      <c r="J55" s="330"/>
      <c r="K55" s="16"/>
      <c r="L55" s="16"/>
      <c r="M55" s="16"/>
      <c r="N55" s="16"/>
      <c r="O55" s="16"/>
      <c r="P55" s="16"/>
      <c r="AC55" s="1"/>
      <c r="AD55" s="1"/>
      <c r="AE55" s="1"/>
      <c r="AF55" s="1"/>
      <c r="AG55" s="1"/>
      <c r="AH55" s="1"/>
      <c r="AI55" s="1"/>
      <c r="AJ55" s="1"/>
      <c r="AK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row r="56" spans="1:84" x14ac:dyDescent="0.45">
      <c r="A56" s="1"/>
      <c r="B56" s="523"/>
      <c r="C56" s="537" t="str">
        <f>C21&amp;""&amp;C22</f>
        <v>Urban Auckland Couple Only</v>
      </c>
      <c r="D56" s="316"/>
      <c r="E56" s="33"/>
      <c r="F56" s="1"/>
      <c r="G56" s="331" t="s">
        <v>90</v>
      </c>
      <c r="H56" s="332" t="s">
        <v>91</v>
      </c>
      <c r="I56" s="332" t="s">
        <v>92</v>
      </c>
      <c r="J56" s="333" t="s">
        <v>93</v>
      </c>
      <c r="K56" s="162"/>
      <c r="L56" s="162"/>
      <c r="M56" s="162"/>
      <c r="N56" s="16"/>
      <c r="O56" s="16"/>
      <c r="P56" s="16"/>
      <c r="AC56" s="1"/>
      <c r="AD56" s="1"/>
      <c r="AE56" s="1"/>
      <c r="AF56" s="1"/>
      <c r="AG56" s="1"/>
      <c r="AH56" s="1"/>
      <c r="AI56" s="1"/>
      <c r="AJ56" s="1"/>
      <c r="AK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row>
    <row r="57" spans="1:84" ht="15.75" x14ac:dyDescent="0.5">
      <c r="A57" s="280"/>
      <c r="B57" s="524" t="s">
        <v>94</v>
      </c>
      <c r="C57" s="528">
        <f>IFERROR(INDEX(Codes!$N$11:$AK$48,MATCH($C$56,Codes!$N$11:$N$48,0),MATCH($B57,Codes!$N$11:$AK$11,0)),0)</f>
        <v>263.5</v>
      </c>
      <c r="D57" s="502">
        <f t="shared" ref="D57:D72" si="1">IF(E57&gt;ROUND(C57,0),2,IF(E57&lt;ROUND(C57,0),0,1))</f>
        <v>2</v>
      </c>
      <c r="E57" s="249">
        <v>350</v>
      </c>
      <c r="F57" s="1"/>
      <c r="G57" s="334">
        <v>1</v>
      </c>
      <c r="H57" s="318">
        <f>PMT($H$54/1,$H$55,$H$51)</f>
        <v>-17158.65248858085</v>
      </c>
      <c r="I57" s="335">
        <f>PPMT($H$54/1,$G57,$H$55,$H$51) +$H$51</f>
        <v>227216.34751141915</v>
      </c>
      <c r="J57" s="336">
        <f>-PPMT($H$54/1,$G57,$H$55,$H$51)</f>
        <v>2783.6524885808508</v>
      </c>
      <c r="K57" s="164"/>
      <c r="L57" s="164"/>
      <c r="M57" s="164"/>
      <c r="N57" s="16"/>
      <c r="O57" s="16"/>
      <c r="P57" s="16"/>
      <c r="AC57" s="1"/>
      <c r="AD57" s="1"/>
      <c r="AE57" s="1"/>
      <c r="AF57" s="1"/>
      <c r="AG57" s="1"/>
      <c r="AH57" s="1"/>
      <c r="AI57" s="1"/>
      <c r="AJ57" s="1"/>
      <c r="AK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row>
    <row r="58" spans="1:84" ht="15.75" x14ac:dyDescent="0.5">
      <c r="A58" s="280"/>
      <c r="B58" s="525" t="s">
        <v>95</v>
      </c>
      <c r="C58" s="528">
        <f>IFERROR(INDEX(Codes!$N$11:$AK$48,MATCH($C$56,Codes!$N$11:$N$48,0),MATCH($B58,Codes!$N$11:$AK$11,0)),0)</f>
        <v>414</v>
      </c>
      <c r="D58" s="502">
        <f t="shared" si="1"/>
        <v>0</v>
      </c>
      <c r="E58" s="249">
        <v>0</v>
      </c>
      <c r="F58" s="1"/>
      <c r="G58" s="334">
        <v>2</v>
      </c>
      <c r="H58" s="318">
        <f t="shared" ref="H58:H71" si="2">PMT($H$54/1,$H$55,$H$51)</f>
        <v>-17158.65248858085</v>
      </c>
      <c r="I58" s="335">
        <f t="shared" ref="I58:I71" si="3">PPMT($H$54/1,$G58,$H$55,$H$51) +I57</f>
        <v>224258.716742302</v>
      </c>
      <c r="J58" s="336">
        <f>-PPMT($H$54/1,$G58,$H$55,$H$51)+J57</f>
        <v>5741.2832576980054</v>
      </c>
      <c r="K58" s="164"/>
      <c r="L58" s="164"/>
      <c r="M58" s="164"/>
      <c r="N58" s="16"/>
      <c r="O58" s="16"/>
      <c r="P58" s="16"/>
      <c r="AC58" s="1"/>
      <c r="AD58" s="1"/>
      <c r="AE58" s="1"/>
      <c r="AF58" s="1"/>
      <c r="AG58" s="1"/>
      <c r="AH58" s="1"/>
      <c r="AI58" s="1"/>
      <c r="AJ58" s="1"/>
      <c r="AK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row>
    <row r="59" spans="1:84" ht="15.75" x14ac:dyDescent="0.5">
      <c r="A59" s="280"/>
      <c r="B59" s="525" t="s">
        <v>96</v>
      </c>
      <c r="C59" s="528">
        <f>IFERROR(INDEX(Codes!$N$11:$AK$48,MATCH($C$56,Codes!$N$11:$N$48,0),MATCH($B59,Codes!$N$11:$AK$11,0)),0)</f>
        <v>608.4</v>
      </c>
      <c r="D59" s="502">
        <f t="shared" si="1"/>
        <v>0</v>
      </c>
      <c r="E59" s="24">
        <f>-$H$57/52</f>
        <v>329.97408631886253</v>
      </c>
      <c r="F59" s="1"/>
      <c r="G59" s="334">
        <v>3</v>
      </c>
      <c r="H59" s="318">
        <f t="shared" si="2"/>
        <v>-17158.65248858085</v>
      </c>
      <c r="I59" s="335">
        <f t="shared" si="3"/>
        <v>221116.23405011502</v>
      </c>
      <c r="J59" s="336">
        <f t="shared" ref="J59:J70" si="4">-PPMT($H$54/1,$G59,$H$55,$H$51)+J58</f>
        <v>8883.7659498849825</v>
      </c>
      <c r="K59" s="164"/>
      <c r="L59" s="164"/>
      <c r="M59" s="164"/>
      <c r="N59" s="16"/>
      <c r="O59" s="16"/>
      <c r="P59" s="16"/>
      <c r="AC59" s="1"/>
      <c r="AD59" s="1"/>
      <c r="AE59" s="1"/>
      <c r="AF59" s="1"/>
      <c r="AG59" s="1"/>
      <c r="AH59" s="1"/>
      <c r="AI59" s="1"/>
      <c r="AJ59" s="1"/>
      <c r="AK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row>
    <row r="60" spans="1:84" ht="15.75" x14ac:dyDescent="0.5">
      <c r="A60" s="280"/>
      <c r="B60" s="524" t="s">
        <v>97</v>
      </c>
      <c r="C60" s="528">
        <f>IFERROR(INDEX(Codes!$N$11:$AK$48,MATCH($C$56,Codes!$N$11:$N$48,0),MATCH($B60,Codes!$N$11:$AK$11,0)),0)</f>
        <v>36.700000000000003</v>
      </c>
      <c r="D60" s="502">
        <f t="shared" si="1"/>
        <v>0</v>
      </c>
      <c r="E60" s="249">
        <v>27</v>
      </c>
      <c r="F60" s="1"/>
      <c r="G60" s="334">
        <v>4</v>
      </c>
      <c r="H60" s="318">
        <f t="shared" si="2"/>
        <v>-17158.65248858085</v>
      </c>
      <c r="I60" s="335">
        <f t="shared" si="3"/>
        <v>217777.34618966636</v>
      </c>
      <c r="J60" s="336">
        <f t="shared" si="4"/>
        <v>12222.653810333644</v>
      </c>
      <c r="K60" s="164"/>
      <c r="L60" s="164"/>
      <c r="M60" s="164"/>
      <c r="N60" s="16"/>
      <c r="O60" s="16"/>
      <c r="P60" s="16"/>
      <c r="AC60" s="1"/>
      <c r="AD60" s="1"/>
      <c r="AE60" s="1"/>
      <c r="AF60" s="1"/>
      <c r="AG60" s="1"/>
      <c r="AH60" s="1"/>
      <c r="AI60" s="1"/>
      <c r="AJ60" s="1"/>
      <c r="AK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row>
    <row r="61" spans="1:84" ht="15.75" x14ac:dyDescent="0.5">
      <c r="A61" s="162"/>
      <c r="B61" s="524" t="s">
        <v>98</v>
      </c>
      <c r="C61" s="528">
        <f>IFERROR(INDEX(Codes!$N$11:$AK$48,MATCH($C$56,Codes!$N$11:$N$48,0),MATCH($B61,Codes!$N$11:$AK$11,0)),0)</f>
        <v>37.200000000000003</v>
      </c>
      <c r="D61" s="502">
        <f t="shared" si="1"/>
        <v>2</v>
      </c>
      <c r="E61" s="249">
        <v>50</v>
      </c>
      <c r="F61" s="1"/>
      <c r="G61" s="334">
        <v>5</v>
      </c>
      <c r="H61" s="318">
        <f t="shared" si="2"/>
        <v>-17158.65248858085</v>
      </c>
      <c r="I61" s="335">
        <f t="shared" si="3"/>
        <v>214229.77783793965</v>
      </c>
      <c r="J61" s="336">
        <f t="shared" si="4"/>
        <v>15770.222162060349</v>
      </c>
      <c r="K61" s="164"/>
      <c r="L61" s="164"/>
      <c r="M61" s="164"/>
      <c r="N61" s="16"/>
      <c r="O61" s="16"/>
      <c r="P61" s="16"/>
      <c r="AC61" s="1"/>
      <c r="AD61" s="1"/>
      <c r="AE61" s="1"/>
      <c r="AF61" s="1"/>
      <c r="AG61" s="1"/>
      <c r="AH61" s="1"/>
      <c r="AI61" s="1"/>
      <c r="AJ61" s="1"/>
      <c r="AK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row>
    <row r="62" spans="1:84" ht="15.75" x14ac:dyDescent="0.5">
      <c r="A62" s="162"/>
      <c r="B62" s="524" t="s">
        <v>99</v>
      </c>
      <c r="C62" s="528">
        <f>IFERROR(INDEX(Codes!$N$11:$AK$48,MATCH($C$56,Codes!$N$11:$N$48,0),MATCH($B62,Codes!$N$11:$AK$11,0)),0)</f>
        <v>36.1</v>
      </c>
      <c r="D62" s="502">
        <f t="shared" si="1"/>
        <v>2</v>
      </c>
      <c r="E62" s="249">
        <v>36.1</v>
      </c>
      <c r="F62" s="1"/>
      <c r="G62" s="334">
        <v>6</v>
      </c>
      <c r="H62" s="318">
        <f t="shared" si="2"/>
        <v>-17158.65248858085</v>
      </c>
      <c r="I62" s="335">
        <f t="shared" si="3"/>
        <v>210460.48646423002</v>
      </c>
      <c r="J62" s="336">
        <f t="shared" si="4"/>
        <v>19539.513535769973</v>
      </c>
      <c r="K62" s="164"/>
      <c r="L62" s="164"/>
      <c r="M62" s="164"/>
      <c r="N62" s="16"/>
      <c r="O62" s="16"/>
      <c r="P62" s="16"/>
      <c r="AC62" s="1"/>
      <c r="AD62" s="1"/>
      <c r="AE62" s="1"/>
      <c r="AF62" s="1"/>
      <c r="AG62" s="1"/>
      <c r="AH62" s="1"/>
      <c r="AI62" s="1"/>
      <c r="AJ62" s="1"/>
      <c r="AK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row>
    <row r="63" spans="1:84" ht="15.75" x14ac:dyDescent="0.5">
      <c r="A63" s="162"/>
      <c r="B63" s="524" t="s">
        <v>100</v>
      </c>
      <c r="C63" s="528">
        <f>IFERROR(INDEX(Codes!$N$11:$AK$48,MATCH($C$56,Codes!$N$11:$N$48,0),MATCH($B63,Codes!$N$11:$AK$11,0)),0)</f>
        <v>128.6</v>
      </c>
      <c r="D63" s="502">
        <f t="shared" si="1"/>
        <v>0</v>
      </c>
      <c r="E63" s="249">
        <v>100</v>
      </c>
      <c r="F63" s="1"/>
      <c r="G63" s="334">
        <v>7</v>
      </c>
      <c r="H63" s="318">
        <f t="shared" si="2"/>
        <v>-17158.65248858085</v>
      </c>
      <c r="I63" s="335">
        <f t="shared" si="3"/>
        <v>206455.61437966354</v>
      </c>
      <c r="J63" s="336">
        <f t="shared" si="4"/>
        <v>23544.385620336448</v>
      </c>
      <c r="K63" s="164"/>
      <c r="L63" s="164"/>
      <c r="M63" s="164"/>
      <c r="N63" s="16"/>
      <c r="O63" s="16"/>
      <c r="P63" s="16"/>
      <c r="AC63" s="1"/>
      <c r="AD63" s="1"/>
      <c r="AE63" s="1"/>
      <c r="AF63" s="1"/>
      <c r="AG63" s="1"/>
      <c r="AH63" s="1"/>
      <c r="AI63" s="1"/>
      <c r="AJ63" s="1"/>
      <c r="AK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row>
    <row r="64" spans="1:84" ht="15.75" x14ac:dyDescent="0.5">
      <c r="A64" s="162"/>
      <c r="B64" s="524" t="s">
        <v>101</v>
      </c>
      <c r="C64" s="528">
        <f>IFERROR(INDEX(Codes!$N$11:$AK$48,MATCH($C$56,Codes!$N$11:$N$48,0),MATCH($B64,Codes!$N$11:$AK$11,0)),0)</f>
        <v>58.1</v>
      </c>
      <c r="D64" s="502">
        <f t="shared" si="1"/>
        <v>2</v>
      </c>
      <c r="E64" s="249">
        <v>62</v>
      </c>
      <c r="F64" s="1"/>
      <c r="G64" s="334">
        <v>8</v>
      </c>
      <c r="H64" s="318">
        <f t="shared" si="2"/>
        <v>-17158.65248858085</v>
      </c>
      <c r="I64" s="335">
        <f t="shared" si="3"/>
        <v>202200.43778981167</v>
      </c>
      <c r="J64" s="336">
        <f t="shared" si="4"/>
        <v>27799.562210188327</v>
      </c>
      <c r="K64" s="164"/>
      <c r="L64" s="164"/>
      <c r="M64" s="164"/>
      <c r="N64" s="16"/>
      <c r="O64" s="16"/>
      <c r="P64" s="16"/>
      <c r="AC64" s="1"/>
      <c r="AD64" s="1"/>
      <c r="AE64" s="1"/>
      <c r="AF64" s="1"/>
      <c r="AG64" s="1"/>
      <c r="AH64" s="1"/>
      <c r="AI64" s="1"/>
      <c r="AJ64" s="1"/>
      <c r="AK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row>
    <row r="65" spans="1:84" ht="15.75" x14ac:dyDescent="0.5">
      <c r="A65" s="162"/>
      <c r="B65" s="524" t="s">
        <v>102</v>
      </c>
      <c r="C65" s="528">
        <f>IFERROR(INDEX(Codes!$N$11:$AK$48,MATCH($C$56,Codes!$N$11:$N$48,0),MATCH($B65,Codes!$N$11:$AK$11,0)),0)</f>
        <v>31.8</v>
      </c>
      <c r="D65" s="502">
        <f t="shared" si="1"/>
        <v>0</v>
      </c>
      <c r="E65" s="249">
        <v>29</v>
      </c>
      <c r="F65" s="1"/>
      <c r="G65" s="334">
        <v>9</v>
      </c>
      <c r="H65" s="318">
        <f t="shared" si="2"/>
        <v>-17158.65248858085</v>
      </c>
      <c r="I65" s="335">
        <f t="shared" si="3"/>
        <v>197679.31266309405</v>
      </c>
      <c r="J65" s="336">
        <f t="shared" si="4"/>
        <v>32320.687336905947</v>
      </c>
      <c r="K65" s="164"/>
      <c r="L65" s="164"/>
      <c r="M65" s="164"/>
      <c r="N65" s="16"/>
      <c r="O65" s="16"/>
      <c r="P65" s="16"/>
      <c r="AC65" s="1"/>
      <c r="AD65" s="1"/>
      <c r="AE65" s="1"/>
      <c r="AF65" s="1"/>
      <c r="AG65" s="1"/>
      <c r="AH65" s="1"/>
      <c r="AI65" s="1"/>
      <c r="AJ65" s="1"/>
      <c r="AK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row>
    <row r="66" spans="1:84" ht="15.75" x14ac:dyDescent="0.5">
      <c r="A66" s="94" t="e">
        <f>IF((OR(#REF!=Codes!$E$3,#REF!=Codes!$H$5)),0,1)</f>
        <v>#REF!</v>
      </c>
      <c r="B66" s="524" t="s">
        <v>103</v>
      </c>
      <c r="C66" s="528">
        <f>IFERROR(INDEX(Codes!$N$11:$AK$48,MATCH($C$56,Codes!$N$11:$N$48,0),MATCH($B66,Codes!$N$11:$AK$11,0)),0)</f>
        <v>153.5</v>
      </c>
      <c r="D66" s="502">
        <f t="shared" si="1"/>
        <v>0</v>
      </c>
      <c r="E66" s="249">
        <v>48</v>
      </c>
      <c r="F66" s="1"/>
      <c r="G66" s="334">
        <v>10</v>
      </c>
      <c r="H66" s="318">
        <f t="shared" si="2"/>
        <v>-17158.65248858085</v>
      </c>
      <c r="I66" s="335">
        <f t="shared" si="3"/>
        <v>192875.61721595659</v>
      </c>
      <c r="J66" s="336">
        <f t="shared" si="4"/>
        <v>37124.382784043417</v>
      </c>
      <c r="K66" s="164"/>
      <c r="L66" s="164"/>
      <c r="M66" s="164"/>
      <c r="N66" s="16"/>
      <c r="O66" s="16"/>
      <c r="P66" s="16"/>
      <c r="AC66" s="1"/>
      <c r="AD66" s="1"/>
      <c r="AE66" s="1"/>
      <c r="AF66" s="1"/>
      <c r="AG66" s="1"/>
      <c r="AH66" s="1"/>
      <c r="AI66" s="1"/>
      <c r="AJ66" s="1"/>
      <c r="AK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row>
    <row r="67" spans="1:84" ht="15.75" x14ac:dyDescent="0.5">
      <c r="A67" s="94" t="e">
        <f>IF((OR(#REF!=Codes!$E$3,#REF!=Codes!$H$5)),0,1)</f>
        <v>#REF!</v>
      </c>
      <c r="B67" s="524" t="s">
        <v>104</v>
      </c>
      <c r="C67" s="528">
        <f>IFERROR(INDEX(Codes!$N$11:$AK$48,MATCH($C$56,Codes!$N$11:$N$48,0),MATCH($B67,Codes!$N$11:$AK$11,0)),0)</f>
        <v>72.8</v>
      </c>
      <c r="D67" s="502">
        <f t="shared" si="1"/>
        <v>2</v>
      </c>
      <c r="E67" s="249">
        <v>88</v>
      </c>
      <c r="F67" s="1"/>
      <c r="G67" s="334">
        <v>11</v>
      </c>
      <c r="H67" s="318">
        <f t="shared" si="2"/>
        <v>-17158.65248858085</v>
      </c>
      <c r="I67" s="335">
        <f t="shared" si="3"/>
        <v>187771.69080337303</v>
      </c>
      <c r="J67" s="336">
        <f t="shared" si="4"/>
        <v>42228.309196626986</v>
      </c>
      <c r="K67" s="164"/>
      <c r="L67" s="164"/>
      <c r="M67" s="164"/>
      <c r="N67" s="16"/>
      <c r="O67" s="16"/>
      <c r="P67" s="16"/>
      <c r="AC67" s="1"/>
      <c r="AD67" s="1"/>
      <c r="AE67" s="1"/>
      <c r="AF67" s="1"/>
      <c r="AG67" s="1"/>
      <c r="AH67" s="1"/>
      <c r="AI67" s="1"/>
      <c r="AJ67" s="1"/>
      <c r="AK67" s="1"/>
      <c r="AL67" s="152"/>
      <c r="AM67" s="85"/>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row>
    <row r="68" spans="1:84" ht="15.75" x14ac:dyDescent="0.5">
      <c r="A68" s="94" t="e">
        <f>IF((OR(#REF!=Codes!$E$3,#REF!=Codes!$H$5)),0,1)</f>
        <v>#REF!</v>
      </c>
      <c r="B68" s="524" t="s">
        <v>105</v>
      </c>
      <c r="C68" s="528">
        <f>IFERROR(INDEX(Codes!$N$11:$AK$48,MATCH($C$56,Codes!$N$11:$N$48,0),MATCH($B68,Codes!$N$11:$AK$11,0)),0)</f>
        <v>21.5</v>
      </c>
      <c r="D68" s="502">
        <f t="shared" si="1"/>
        <v>0</v>
      </c>
      <c r="E68" s="249">
        <v>15</v>
      </c>
      <c r="F68" s="1"/>
      <c r="G68" s="334">
        <v>12</v>
      </c>
      <c r="H68" s="318">
        <f t="shared" si="2"/>
        <v>-17158.65248858085</v>
      </c>
      <c r="I68" s="335">
        <f t="shared" si="3"/>
        <v>182348.76899000298</v>
      </c>
      <c r="J68" s="336">
        <f t="shared" si="4"/>
        <v>47651.23100999702</v>
      </c>
      <c r="K68" s="164"/>
      <c r="L68" s="164"/>
      <c r="M68" s="164"/>
      <c r="N68" s="16"/>
      <c r="O68" s="16"/>
      <c r="P68" s="16"/>
      <c r="AC68" s="1"/>
      <c r="AD68" s="1"/>
      <c r="AE68" s="1"/>
      <c r="AF68" s="1"/>
      <c r="AG68" s="1"/>
      <c r="AH68" s="1"/>
      <c r="AI68" s="1"/>
      <c r="AJ68" s="1"/>
      <c r="AK68" s="1"/>
      <c r="AL68" s="152"/>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row>
    <row r="69" spans="1:84" ht="15.75" x14ac:dyDescent="0.5">
      <c r="A69" s="162"/>
      <c r="B69" s="524" t="s">
        <v>106</v>
      </c>
      <c r="C69" s="528">
        <f>IFERROR(INDEX(Codes!$N$11:$AK$48,MATCH($C$56,Codes!$N$11:$N$48,0),MATCH($B69,Codes!$N$11:$AK$11,0)),0)</f>
        <v>52.4</v>
      </c>
      <c r="D69" s="502">
        <f t="shared" si="1"/>
        <v>0</v>
      </c>
      <c r="E69" s="249">
        <v>40</v>
      </c>
      <c r="F69" s="1"/>
      <c r="G69" s="334">
        <v>13</v>
      </c>
      <c r="H69" s="318">
        <f t="shared" si="2"/>
        <v>-17158.65248858085</v>
      </c>
      <c r="I69" s="335">
        <f t="shared" si="3"/>
        <v>176586.91456329732</v>
      </c>
      <c r="J69" s="336">
        <f t="shared" si="4"/>
        <v>53413.085436702684</v>
      </c>
      <c r="K69" s="164"/>
      <c r="L69" s="164"/>
      <c r="M69" s="164"/>
      <c r="N69" s="16"/>
      <c r="O69" s="16"/>
      <c r="P69" s="16"/>
      <c r="AC69" s="1"/>
      <c r="AD69" s="1"/>
      <c r="AE69" s="1"/>
      <c r="AF69" s="1"/>
      <c r="AG69" s="1"/>
      <c r="AH69" s="1"/>
      <c r="AI69" s="1"/>
      <c r="AJ69" s="1"/>
      <c r="AK69" s="1"/>
      <c r="AL69" s="152"/>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row>
    <row r="70" spans="1:84" ht="15.75" x14ac:dyDescent="0.5">
      <c r="A70" s="162"/>
      <c r="B70" s="524" t="s">
        <v>107</v>
      </c>
      <c r="C70" s="528">
        <f>IFERROR(INDEX(Codes!$N$11:$AK$48,MATCH($C$56,Codes!$N$11:$N$48,0),MATCH($B70,Codes!$N$11:$AK$11,0)),0)</f>
        <v>90.7</v>
      </c>
      <c r="D70" s="502">
        <f t="shared" si="1"/>
        <v>0</v>
      </c>
      <c r="E70" s="249">
        <v>47</v>
      </c>
      <c r="F70" s="1"/>
      <c r="G70" s="334">
        <v>14</v>
      </c>
      <c r="H70" s="318">
        <f t="shared" si="2"/>
        <v>-17158.65248858085</v>
      </c>
      <c r="I70" s="335">
        <f t="shared" si="3"/>
        <v>170464.94423492256</v>
      </c>
      <c r="J70" s="336">
        <f t="shared" si="4"/>
        <v>59535.05576507745</v>
      </c>
      <c r="K70" s="164"/>
      <c r="L70" s="164"/>
      <c r="M70" s="164"/>
      <c r="N70" s="16"/>
      <c r="O70" s="16"/>
      <c r="P70" s="16"/>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row>
    <row r="71" spans="1:84" ht="15.75" x14ac:dyDescent="0.5">
      <c r="A71" s="162"/>
      <c r="B71" s="524" t="s">
        <v>108</v>
      </c>
      <c r="C71" s="528">
        <f>IFERROR(INDEX(Codes!$N$11:$AK$48,MATCH($C$56,Codes!$N$11:$N$48,0),MATCH($B71,Codes!$N$11:$AK$11,0)),0)</f>
        <v>46.6</v>
      </c>
      <c r="D71" s="502">
        <f t="shared" si="1"/>
        <v>0</v>
      </c>
      <c r="E71" s="249">
        <v>28</v>
      </c>
      <c r="F71" s="1"/>
      <c r="G71" s="337">
        <v>15</v>
      </c>
      <c r="H71" s="165">
        <f t="shared" si="2"/>
        <v>-17158.65248858085</v>
      </c>
      <c r="I71" s="338">
        <f t="shared" si="3"/>
        <v>163960.35076102437</v>
      </c>
      <c r="J71" s="339">
        <f>-PPMT($H$54/1,$G71,$H$55,$H$51)+J70</f>
        <v>66039.649238975646</v>
      </c>
      <c r="K71" s="166"/>
      <c r="L71" s="164"/>
      <c r="M71" s="164"/>
      <c r="N71" s="16"/>
      <c r="O71" s="16"/>
      <c r="P71" s="16"/>
      <c r="V71" s="152"/>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row>
    <row r="72" spans="1:84" ht="15.75" x14ac:dyDescent="0.5">
      <c r="A72" s="162"/>
      <c r="B72" s="524" t="s">
        <v>109</v>
      </c>
      <c r="C72" s="528">
        <f>IFERROR(INDEX(Codes!$N$11:$AK$48,MATCH($C$56,Codes!$N$11:$N$48,0),MATCH($B72,Codes!$N$11:$AK$11,0)),0)</f>
        <v>45</v>
      </c>
      <c r="D72" s="502">
        <f t="shared" si="1"/>
        <v>0</v>
      </c>
      <c r="E72" s="249">
        <v>41</v>
      </c>
      <c r="F72" s="1"/>
      <c r="G72" s="1"/>
      <c r="H72" s="1"/>
      <c r="I72" s="1"/>
      <c r="J72" s="1"/>
      <c r="K72" s="167"/>
      <c r="L72" s="16"/>
      <c r="M72" s="16"/>
      <c r="N72" s="16"/>
      <c r="O72" s="16"/>
      <c r="P72" s="16"/>
      <c r="V72" s="152"/>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row>
    <row r="73" spans="1:84" ht="15.75" x14ac:dyDescent="0.5">
      <c r="A73" s="280"/>
      <c r="B73" s="524" t="s">
        <v>110</v>
      </c>
      <c r="C73" s="528"/>
      <c r="D73" s="317"/>
      <c r="E73" s="249">
        <v>0</v>
      </c>
      <c r="F73" s="84"/>
      <c r="G73" s="1"/>
      <c r="H73" s="163"/>
      <c r="I73" s="163"/>
      <c r="J73" s="152"/>
      <c r="K73" s="16"/>
      <c r="L73" s="16"/>
      <c r="M73" s="16"/>
      <c r="N73" s="16"/>
      <c r="O73" s="16"/>
      <c r="P73" s="16"/>
      <c r="V73" s="152"/>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row>
    <row r="74" spans="1:84" ht="15.75" x14ac:dyDescent="0.5">
      <c r="A74" s="280"/>
      <c r="B74" s="524" t="s">
        <v>111</v>
      </c>
      <c r="C74" s="528"/>
      <c r="D74" s="317"/>
      <c r="E74" s="249">
        <v>0</v>
      </c>
      <c r="F74" s="1"/>
      <c r="G74" s="1"/>
      <c r="H74" s="163"/>
      <c r="I74" s="163"/>
      <c r="J74" s="152"/>
      <c r="K74" s="16"/>
      <c r="L74" s="16"/>
      <c r="M74" s="16"/>
      <c r="N74" s="16"/>
      <c r="O74" s="16"/>
      <c r="P74" s="16"/>
      <c r="V74" s="152"/>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row>
    <row r="75" spans="1:84" ht="15.75" x14ac:dyDescent="0.5">
      <c r="A75" s="280"/>
      <c r="B75" s="526" t="s">
        <v>356</v>
      </c>
      <c r="C75" s="528"/>
      <c r="D75" s="256"/>
      <c r="E75" s="249">
        <v>0</v>
      </c>
      <c r="F75" s="1"/>
      <c r="G75" s="1"/>
      <c r="H75" s="163"/>
      <c r="I75" s="163"/>
      <c r="J75" s="152"/>
      <c r="K75" s="1"/>
      <c r="L75" s="1"/>
      <c r="M75" s="1"/>
      <c r="N75" s="1"/>
      <c r="O75" s="1"/>
      <c r="P75" s="1"/>
      <c r="V75" s="152"/>
      <c r="AC75" s="1"/>
      <c r="AD75" s="163"/>
      <c r="AE75" s="163"/>
      <c r="AF75" s="163"/>
      <c r="AG75" s="163"/>
      <c r="AH75" s="163"/>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row>
    <row r="76" spans="1:84" ht="15.75" x14ac:dyDescent="0.5">
      <c r="A76" s="1"/>
      <c r="B76" s="526" t="s">
        <v>356</v>
      </c>
      <c r="C76" s="528"/>
      <c r="D76" s="256"/>
      <c r="E76" s="249">
        <v>0</v>
      </c>
      <c r="F76" s="1"/>
      <c r="G76" s="1"/>
      <c r="H76" s="163"/>
      <c r="I76" s="163"/>
      <c r="J76" s="152"/>
      <c r="K76" s="1"/>
      <c r="L76" s="1"/>
      <c r="M76" s="1"/>
      <c r="N76" s="1"/>
      <c r="O76" s="1"/>
      <c r="P76" s="1"/>
      <c r="V76" s="152"/>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row>
    <row r="77" spans="1:84" ht="15.75" x14ac:dyDescent="0.5">
      <c r="A77" s="1"/>
      <c r="B77" s="526" t="s">
        <v>356</v>
      </c>
      <c r="C77" s="528"/>
      <c r="D77" s="256"/>
      <c r="E77" s="249">
        <v>0</v>
      </c>
      <c r="F77" s="1"/>
      <c r="G77" s="1"/>
      <c r="H77" s="163"/>
      <c r="I77" s="163"/>
      <c r="J77" s="152"/>
      <c r="K77" s="1"/>
      <c r="L77" s="1"/>
      <c r="M77" s="1"/>
      <c r="N77" s="1"/>
      <c r="O77" s="1"/>
      <c r="P77" s="1"/>
      <c r="V77" s="152"/>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row>
    <row r="78" spans="1:84" ht="15.75" x14ac:dyDescent="0.5">
      <c r="A78" s="1"/>
      <c r="B78" s="526" t="s">
        <v>356</v>
      </c>
      <c r="C78" s="528"/>
      <c r="D78" s="256"/>
      <c r="E78" s="249">
        <v>0</v>
      </c>
      <c r="F78" s="1"/>
      <c r="G78" s="1"/>
      <c r="H78" s="163"/>
      <c r="I78" s="163"/>
      <c r="J78" s="152"/>
      <c r="K78" s="1"/>
      <c r="L78" s="1"/>
      <c r="M78" s="1"/>
      <c r="N78" s="1"/>
      <c r="O78" s="1"/>
      <c r="P78" s="1"/>
      <c r="V78" s="152"/>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row>
    <row r="79" spans="1:84" ht="15.75" x14ac:dyDescent="0.5">
      <c r="A79" s="1"/>
      <c r="B79" s="526" t="s">
        <v>356</v>
      </c>
      <c r="C79" s="528"/>
      <c r="D79" s="256"/>
      <c r="E79" s="249">
        <v>0</v>
      </c>
      <c r="F79" s="84"/>
      <c r="G79" s="1"/>
      <c r="H79" s="163"/>
      <c r="I79" s="163"/>
      <c r="J79" s="152"/>
      <c r="K79" s="1"/>
      <c r="L79" s="1"/>
      <c r="M79" s="1"/>
      <c r="N79" s="1"/>
      <c r="O79" s="1"/>
      <c r="P79" s="1"/>
      <c r="V79" s="152"/>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row>
    <row r="80" spans="1:84" ht="15.75" x14ac:dyDescent="0.5">
      <c r="A80" s="1"/>
      <c r="B80" s="526" t="s">
        <v>356</v>
      </c>
      <c r="C80" s="528"/>
      <c r="D80" s="256"/>
      <c r="E80" s="249">
        <v>0</v>
      </c>
      <c r="F80" s="20"/>
      <c r="G80" s="1"/>
      <c r="H80" s="163"/>
      <c r="I80" s="163"/>
      <c r="J80" s="152"/>
      <c r="K80" s="1"/>
      <c r="L80" s="1"/>
      <c r="M80" s="1"/>
      <c r="N80" s="1"/>
      <c r="O80" s="1"/>
      <c r="P80" s="1"/>
      <c r="V80" s="152"/>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row>
    <row r="81" spans="1:84" ht="15.75" x14ac:dyDescent="0.5">
      <c r="A81" s="1"/>
      <c r="B81" s="527" t="s">
        <v>112</v>
      </c>
      <c r="C81" s="533"/>
      <c r="D81" s="534"/>
      <c r="E81" s="536">
        <f>SUM($E$57:$E$80)</f>
        <v>1291.0740863188626</v>
      </c>
      <c r="F81" s="84"/>
      <c r="G81" s="1"/>
      <c r="H81" s="1"/>
      <c r="I81" s="1"/>
      <c r="J81" s="1"/>
      <c r="K81" s="1"/>
      <c r="L81" s="1"/>
      <c r="M81" s="1"/>
      <c r="N81" s="1"/>
      <c r="O81" s="1"/>
      <c r="P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row>
    <row r="82" spans="1:84" x14ac:dyDescent="0.45">
      <c r="A82" s="1"/>
      <c r="B82" s="524" t="s">
        <v>113</v>
      </c>
      <c r="C82" s="189"/>
      <c r="D82" s="529"/>
      <c r="E82" s="530">
        <f>E54-E81</f>
        <v>87.579759834983633</v>
      </c>
      <c r="F82" s="16"/>
      <c r="G82" s="1"/>
      <c r="H82" s="1"/>
      <c r="I82" s="1"/>
      <c r="J82" s="1"/>
      <c r="K82" s="1"/>
      <c r="L82" s="1"/>
      <c r="M82" s="1"/>
      <c r="N82" s="1"/>
      <c r="O82" s="1"/>
      <c r="P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row>
    <row r="83" spans="1:84" x14ac:dyDescent="0.45">
      <c r="A83" s="1"/>
      <c r="B83" s="168" t="s">
        <v>342</v>
      </c>
      <c r="C83" s="169"/>
      <c r="D83" s="170"/>
      <c r="E83" s="171">
        <f>E82*52</f>
        <v>4554.1475114191489</v>
      </c>
      <c r="F83" s="16"/>
      <c r="G83" s="1"/>
      <c r="H83" s="16"/>
      <c r="I83" s="1"/>
      <c r="J83" s="1"/>
      <c r="K83" s="1"/>
      <c r="L83" s="1"/>
      <c r="M83" s="1"/>
      <c r="N83" s="1"/>
      <c r="O83" s="1"/>
      <c r="P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row>
    <row r="84" spans="1:84" s="1" customFormat="1" x14ac:dyDescent="0.45">
      <c r="G84" s="16"/>
      <c r="H84" s="16"/>
    </row>
    <row r="85" spans="1:84" s="1" customFormat="1" x14ac:dyDescent="0.45"/>
    <row r="86" spans="1:84" s="1" customFormat="1" x14ac:dyDescent="0.45">
      <c r="B86" s="267" t="s">
        <v>379</v>
      </c>
    </row>
    <row r="87" spans="1:84" s="1" customFormat="1" x14ac:dyDescent="0.45"/>
    <row r="88" spans="1:84" s="1" customFormat="1" x14ac:dyDescent="0.45">
      <c r="B88" s="540" t="s">
        <v>329</v>
      </c>
    </row>
    <row r="89" spans="1:84" s="1" customFormat="1" x14ac:dyDescent="0.45">
      <c r="B89" s="519"/>
    </row>
    <row r="90" spans="1:84" s="1" customFormat="1" x14ac:dyDescent="0.45">
      <c r="B90" s="540" t="s">
        <v>358</v>
      </c>
    </row>
    <row r="91" spans="1:84" s="1" customFormat="1" x14ac:dyDescent="0.45">
      <c r="B91" s="540" t="s">
        <v>359</v>
      </c>
    </row>
    <row r="92" spans="1:84" s="1" customFormat="1" x14ac:dyDescent="0.45">
      <c r="B92" s="540" t="s">
        <v>360</v>
      </c>
    </row>
    <row r="93" spans="1:84" s="1" customFormat="1" x14ac:dyDescent="0.45">
      <c r="B93" s="540" t="s">
        <v>361</v>
      </c>
    </row>
    <row r="94" spans="1:84" s="1" customFormat="1" x14ac:dyDescent="0.45"/>
    <row r="95" spans="1:84" ht="15.75" x14ac:dyDescent="0.5">
      <c r="A95" s="1"/>
      <c r="B95" s="172"/>
      <c r="C95" s="266"/>
      <c r="D95" s="173"/>
      <c r="E95" s="538" t="s">
        <v>114</v>
      </c>
      <c r="F95" s="175" t="s">
        <v>115</v>
      </c>
      <c r="G95" s="174" t="s">
        <v>115</v>
      </c>
      <c r="H95" s="174" t="s">
        <v>115</v>
      </c>
      <c r="I95" s="174" t="s">
        <v>115</v>
      </c>
      <c r="J95" s="174" t="s">
        <v>115</v>
      </c>
      <c r="K95" s="174" t="s">
        <v>115</v>
      </c>
      <c r="L95" s="174" t="s">
        <v>115</v>
      </c>
      <c r="M95" s="174" t="s">
        <v>115</v>
      </c>
      <c r="N95" s="174" t="s">
        <v>115</v>
      </c>
      <c r="O95" s="174" t="s">
        <v>115</v>
      </c>
      <c r="P95" s="174" t="s">
        <v>115</v>
      </c>
      <c r="Q95" s="175" t="s">
        <v>115</v>
      </c>
      <c r="R95" s="175" t="s">
        <v>115</v>
      </c>
      <c r="S95" s="175" t="s">
        <v>115</v>
      </c>
      <c r="T95" s="21" t="s">
        <v>115</v>
      </c>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row>
    <row r="96" spans="1:84" x14ac:dyDescent="0.45">
      <c r="A96" s="1"/>
      <c r="B96" s="22"/>
      <c r="C96" s="176"/>
      <c r="D96" s="177"/>
      <c r="E96" s="486" t="s">
        <v>116</v>
      </c>
      <c r="F96" s="179">
        <v>1</v>
      </c>
      <c r="G96" s="178">
        <v>2</v>
      </c>
      <c r="H96" s="178">
        <v>3</v>
      </c>
      <c r="I96" s="178">
        <v>4</v>
      </c>
      <c r="J96" s="178">
        <v>5</v>
      </c>
      <c r="K96" s="178">
        <v>6</v>
      </c>
      <c r="L96" s="178">
        <v>7</v>
      </c>
      <c r="M96" s="178">
        <v>8</v>
      </c>
      <c r="N96" s="178">
        <v>9</v>
      </c>
      <c r="O96" s="178">
        <v>10</v>
      </c>
      <c r="P96" s="178">
        <v>11</v>
      </c>
      <c r="Q96" s="179">
        <v>12</v>
      </c>
      <c r="R96" s="179">
        <v>13</v>
      </c>
      <c r="S96" s="179">
        <v>14</v>
      </c>
      <c r="T96" s="23">
        <v>15</v>
      </c>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row>
    <row r="97" spans="1:84" x14ac:dyDescent="0.45">
      <c r="A97" s="1"/>
      <c r="B97" s="90" t="s">
        <v>117</v>
      </c>
      <c r="C97" s="710" t="s">
        <v>118</v>
      </c>
      <c r="D97" s="711"/>
      <c r="E97" s="180"/>
      <c r="F97" s="181"/>
      <c r="G97" s="182"/>
      <c r="H97" s="182"/>
      <c r="I97" s="182"/>
      <c r="J97" s="182"/>
      <c r="K97" s="182"/>
      <c r="L97" s="182"/>
      <c r="M97" s="182"/>
      <c r="N97" s="182"/>
      <c r="O97" s="182"/>
      <c r="P97" s="182"/>
      <c r="Q97" s="181"/>
      <c r="R97" s="181"/>
      <c r="S97" s="181"/>
      <c r="T97" s="183"/>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row>
    <row r="98" spans="1:84" x14ac:dyDescent="0.45">
      <c r="A98" s="1"/>
      <c r="B98" s="340" t="s">
        <v>119</v>
      </c>
      <c r="C98" s="699">
        <v>0.03</v>
      </c>
      <c r="D98" s="700"/>
      <c r="E98" s="351">
        <f>$E$35</f>
        <v>500000</v>
      </c>
      <c r="F98" s="352">
        <f t="shared" ref="F98:T98" si="5">E98*(1+$C$98)</f>
        <v>515000</v>
      </c>
      <c r="G98" s="351">
        <f t="shared" si="5"/>
        <v>530450</v>
      </c>
      <c r="H98" s="351">
        <f t="shared" si="5"/>
        <v>546363.5</v>
      </c>
      <c r="I98" s="351">
        <f t="shared" si="5"/>
        <v>562754.40500000003</v>
      </c>
      <c r="J98" s="351">
        <f t="shared" si="5"/>
        <v>579637.03714999999</v>
      </c>
      <c r="K98" s="351">
        <f t="shared" si="5"/>
        <v>597026.14826449996</v>
      </c>
      <c r="L98" s="351">
        <f t="shared" si="5"/>
        <v>614936.93271243502</v>
      </c>
      <c r="M98" s="351">
        <f t="shared" si="5"/>
        <v>633385.04069380811</v>
      </c>
      <c r="N98" s="351">
        <f t="shared" si="5"/>
        <v>652386.59191462235</v>
      </c>
      <c r="O98" s="351">
        <f t="shared" si="5"/>
        <v>671958.18967206101</v>
      </c>
      <c r="P98" s="351">
        <f t="shared" si="5"/>
        <v>692116.93536222284</v>
      </c>
      <c r="Q98" s="352">
        <f t="shared" si="5"/>
        <v>712880.44342308957</v>
      </c>
      <c r="R98" s="352">
        <f t="shared" si="5"/>
        <v>734266.85672578227</v>
      </c>
      <c r="S98" s="352">
        <f t="shared" si="5"/>
        <v>756294.86242755572</v>
      </c>
      <c r="T98" s="353">
        <f t="shared" si="5"/>
        <v>778983.70830038236</v>
      </c>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row>
    <row r="99" spans="1:84" x14ac:dyDescent="0.45">
      <c r="A99" s="1"/>
      <c r="B99" s="114"/>
      <c r="C99" s="115"/>
      <c r="D99" s="186"/>
      <c r="E99" s="187"/>
      <c r="F99" s="185"/>
      <c r="G99" s="184"/>
      <c r="H99" s="184"/>
      <c r="I99" s="184"/>
      <c r="J99" s="184"/>
      <c r="K99" s="184"/>
      <c r="L99" s="184"/>
      <c r="M99" s="184"/>
      <c r="N99" s="184"/>
      <c r="O99" s="184"/>
      <c r="P99" s="184"/>
      <c r="Q99" s="185"/>
      <c r="R99" s="185"/>
      <c r="S99" s="185"/>
      <c r="T99" s="153"/>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row>
    <row r="100" spans="1:84" x14ac:dyDescent="0.45">
      <c r="A100" s="1"/>
      <c r="B100" s="2" t="s">
        <v>120</v>
      </c>
      <c r="C100" s="697">
        <f>$C$37</f>
        <v>0.44999999999999996</v>
      </c>
      <c r="D100" s="698"/>
      <c r="E100" s="539">
        <f>$E$98*$C$100</f>
        <v>224999.99999999997</v>
      </c>
      <c r="F100" s="189">
        <f t="shared" ref="F100:T100" si="6">(E100*(1+$C$98))</f>
        <v>231749.99999999997</v>
      </c>
      <c r="G100" s="188">
        <f t="shared" si="6"/>
        <v>238702.49999999997</v>
      </c>
      <c r="H100" s="188">
        <f t="shared" si="6"/>
        <v>245863.57499999998</v>
      </c>
      <c r="I100" s="188">
        <f t="shared" si="6"/>
        <v>253239.48225</v>
      </c>
      <c r="J100" s="188">
        <f t="shared" si="6"/>
        <v>260836.66671750002</v>
      </c>
      <c r="K100" s="188">
        <f t="shared" si="6"/>
        <v>268661.76671902504</v>
      </c>
      <c r="L100" s="188">
        <f t="shared" si="6"/>
        <v>276721.61972059577</v>
      </c>
      <c r="M100" s="188">
        <f t="shared" si="6"/>
        <v>285023.26831221365</v>
      </c>
      <c r="N100" s="188">
        <f t="shared" si="6"/>
        <v>293573.96636158007</v>
      </c>
      <c r="O100" s="188">
        <f t="shared" si="6"/>
        <v>302381.18535242748</v>
      </c>
      <c r="P100" s="188">
        <f t="shared" si="6"/>
        <v>311452.62091300031</v>
      </c>
      <c r="Q100" s="189">
        <f t="shared" si="6"/>
        <v>320796.19954039034</v>
      </c>
      <c r="R100" s="189">
        <f t="shared" si="6"/>
        <v>330420.08552660205</v>
      </c>
      <c r="S100" s="189">
        <f t="shared" si="6"/>
        <v>340332.68809240015</v>
      </c>
      <c r="T100" s="24">
        <f t="shared" si="6"/>
        <v>350542.66873517213</v>
      </c>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row>
    <row r="101" spans="1:84" x14ac:dyDescent="0.45">
      <c r="A101" s="1"/>
      <c r="B101" s="2" t="s">
        <v>121</v>
      </c>
      <c r="C101" s="1"/>
      <c r="D101" s="190"/>
      <c r="E101" s="188">
        <v>0</v>
      </c>
      <c r="F101" s="189">
        <f>(F98-$E$98)*$C$100</f>
        <v>6749.9999999999991</v>
      </c>
      <c r="G101" s="188">
        <f>(G98-E98)*$C$100</f>
        <v>13702.499999999998</v>
      </c>
      <c r="H101" s="188">
        <f>(H98-E98)*$C$100</f>
        <v>20863.574999999997</v>
      </c>
      <c r="I101" s="188">
        <f>(I98-E98)*$C$100</f>
        <v>28239.482250000008</v>
      </c>
      <c r="J101" s="188">
        <f>(J98-E98)*$C$100</f>
        <v>35836.666717499989</v>
      </c>
      <c r="K101" s="188">
        <f>(K98-E98)*$C$100</f>
        <v>43661.766719024978</v>
      </c>
      <c r="L101" s="188">
        <f>(L98-E98)*$C$100</f>
        <v>51721.619720595758</v>
      </c>
      <c r="M101" s="188">
        <f>(M98-E98)*$C$100</f>
        <v>60023.268312213644</v>
      </c>
      <c r="N101" s="188">
        <f>(N98-E98)*$C$100</f>
        <v>68573.966361580053</v>
      </c>
      <c r="O101" s="188">
        <f>(O98-E98)*$C$100</f>
        <v>77381.185352427448</v>
      </c>
      <c r="P101" s="188">
        <f>(P98-E98)*$C$100</f>
        <v>86452.620913000268</v>
      </c>
      <c r="Q101" s="189">
        <f>(Q98-E98)*$C$100</f>
        <v>95796.199540390298</v>
      </c>
      <c r="R101" s="189">
        <f>(R98-E98)*$C$100</f>
        <v>105420.08552660201</v>
      </c>
      <c r="S101" s="189">
        <f>(S98-E98)*$C$100</f>
        <v>115332.68809240006</v>
      </c>
      <c r="T101" s="24">
        <f>(T98-F98)*$C$100</f>
        <v>118792.66873517205</v>
      </c>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row>
    <row r="102" spans="1:84" x14ac:dyDescent="0.45">
      <c r="A102" s="1"/>
      <c r="B102" s="2" t="s">
        <v>122</v>
      </c>
      <c r="C102" s="697">
        <f>$C$36</f>
        <v>0.55000000000000004</v>
      </c>
      <c r="D102" s="698"/>
      <c r="E102" s="188">
        <f>$E$98*$C$102</f>
        <v>275000</v>
      </c>
      <c r="F102" s="189">
        <f t="shared" ref="F102:T102" si="7">(E102*(1+$C$98))</f>
        <v>283250</v>
      </c>
      <c r="G102" s="188">
        <f t="shared" si="7"/>
        <v>291747.5</v>
      </c>
      <c r="H102" s="188">
        <f t="shared" si="7"/>
        <v>300499.92499999999</v>
      </c>
      <c r="I102" s="188">
        <f t="shared" si="7"/>
        <v>309514.92274999997</v>
      </c>
      <c r="J102" s="188">
        <f>(I102*(1+$C$98))</f>
        <v>318800.37043249997</v>
      </c>
      <c r="K102" s="188">
        <f t="shared" si="7"/>
        <v>328364.38154547499</v>
      </c>
      <c r="L102" s="188">
        <f t="shared" si="7"/>
        <v>338215.31299183925</v>
      </c>
      <c r="M102" s="188">
        <f t="shared" si="7"/>
        <v>348361.77238159446</v>
      </c>
      <c r="N102" s="188">
        <f t="shared" si="7"/>
        <v>358812.62555304228</v>
      </c>
      <c r="O102" s="188">
        <f t="shared" si="7"/>
        <v>369577.00431963353</v>
      </c>
      <c r="P102" s="188">
        <f t="shared" si="7"/>
        <v>380664.31444922253</v>
      </c>
      <c r="Q102" s="189">
        <f t="shared" si="7"/>
        <v>392084.24388269923</v>
      </c>
      <c r="R102" s="189">
        <f t="shared" si="7"/>
        <v>403846.77119918022</v>
      </c>
      <c r="S102" s="189">
        <f t="shared" si="7"/>
        <v>415962.17433515564</v>
      </c>
      <c r="T102" s="24">
        <f t="shared" si="7"/>
        <v>428441.03956521029</v>
      </c>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row>
    <row r="103" spans="1:84" x14ac:dyDescent="0.45">
      <c r="A103" s="1"/>
      <c r="B103" s="161" t="s">
        <v>123</v>
      </c>
      <c r="C103" s="191"/>
      <c r="D103" s="192"/>
      <c r="E103" s="193">
        <f>(E98-E98)*$C$102</f>
        <v>0</v>
      </c>
      <c r="F103" s="194">
        <f>(F98-E98)*$C$102</f>
        <v>8250</v>
      </c>
      <c r="G103" s="193">
        <f>(G98-E98)*$C$102</f>
        <v>16747.5</v>
      </c>
      <c r="H103" s="193">
        <f>(H98-E98)*$C$102</f>
        <v>25499.925000000003</v>
      </c>
      <c r="I103" s="193">
        <f>(I98-E98)*$C$102</f>
        <v>34514.92275000002</v>
      </c>
      <c r="J103" s="193">
        <f>(J98-E98)*$C$102</f>
        <v>43800.3704325</v>
      </c>
      <c r="K103" s="193">
        <f>(K98-E98)*$C$102</f>
        <v>53364.381545474986</v>
      </c>
      <c r="L103" s="193">
        <f>(L98-E98)*$C$102</f>
        <v>63215.312991839266</v>
      </c>
      <c r="M103" s="193">
        <f>(M98-E98)*$C$102</f>
        <v>73361.772381594463</v>
      </c>
      <c r="N103" s="193">
        <f>(N98-E98)*$C$102</f>
        <v>83812.625553042293</v>
      </c>
      <c r="O103" s="193">
        <f>(O98-E98)*$C$102</f>
        <v>94577.004319633561</v>
      </c>
      <c r="P103" s="193">
        <f>(P98-E98)*$C$102</f>
        <v>105664.31444922257</v>
      </c>
      <c r="Q103" s="194">
        <f>(Q98-E98)*$C$102</f>
        <v>117084.24388269927</v>
      </c>
      <c r="R103" s="194">
        <f>(R98-E98)*$C$102</f>
        <v>128846.77119918026</v>
      </c>
      <c r="S103" s="194">
        <f>(S98-E98)*$C$102</f>
        <v>140962.17433515567</v>
      </c>
      <c r="T103" s="195">
        <f>(T98-F98)*$C$102</f>
        <v>145191.03956521032</v>
      </c>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row>
    <row r="104" spans="1:84" x14ac:dyDescent="0.45">
      <c r="A104" s="1"/>
      <c r="B104" s="196" t="s">
        <v>343</v>
      </c>
      <c r="C104" s="691" t="s">
        <v>357</v>
      </c>
      <c r="D104" s="692"/>
      <c r="E104" s="197"/>
      <c r="F104" s="198"/>
      <c r="G104" s="199"/>
      <c r="H104" s="199"/>
      <c r="I104" s="199"/>
      <c r="J104" s="199"/>
      <c r="K104" s="199"/>
      <c r="L104" s="199"/>
      <c r="M104" s="199"/>
      <c r="N104" s="199"/>
      <c r="O104" s="199"/>
      <c r="P104" s="199"/>
      <c r="Q104" s="198"/>
      <c r="R104" s="198"/>
      <c r="S104" s="198"/>
      <c r="T104" s="200"/>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row>
    <row r="105" spans="1:84" x14ac:dyDescent="0.45">
      <c r="A105" s="1"/>
      <c r="B105" s="154" t="s">
        <v>344</v>
      </c>
      <c r="C105" s="699">
        <v>0.02</v>
      </c>
      <c r="D105" s="700"/>
      <c r="E105" s="201">
        <f>E103+SUM($E$107:$E$112)</f>
        <v>45000</v>
      </c>
      <c r="F105" s="202">
        <f>F103+SUM(F$107:F$112)</f>
        <v>60678.882950228384</v>
      </c>
      <c r="G105" s="201">
        <f>G103+SUM(G$107:G$112)</f>
        <v>76872.148790226027</v>
      </c>
      <c r="H105" s="201">
        <f t="shared" ref="H105:T105" si="8">H103+SUM(H$107:H$112)</f>
        <v>93599.95425471109</v>
      </c>
      <c r="I105" s="201">
        <f t="shared" si="8"/>
        <v>110883.39559290383</v>
      </c>
      <c r="J105" s="201">
        <f t="shared" si="8"/>
        <v>128744.55846942944</v>
      </c>
      <c r="K105" s="201">
        <f t="shared" si="8"/>
        <v>147206.57073525898</v>
      </c>
      <c r="L105" s="203">
        <f t="shared" si="8"/>
        <v>166293.65824091755</v>
      </c>
      <c r="M105" s="203">
        <f t="shared" si="8"/>
        <v>186031.20387474698</v>
      </c>
      <c r="N105" s="203">
        <f t="shared" si="8"/>
        <v>206445.81002021924</v>
      </c>
      <c r="O105" s="203">
        <f t="shared" si="8"/>
        <v>227565.36463820093</v>
      </c>
      <c r="P105" s="203">
        <f t="shared" si="8"/>
        <v>249419.11119271151</v>
      </c>
      <c r="Q105" s="204">
        <f t="shared" si="8"/>
        <v>272037.72265214304</v>
      </c>
      <c r="R105" s="204">
        <f t="shared" si="8"/>
        <v>295453.37981216615</v>
      </c>
      <c r="S105" s="204">
        <f t="shared" si="8"/>
        <v>319699.85420168948</v>
      </c>
      <c r="T105" s="205">
        <f t="shared" si="8"/>
        <v>336562.59584931901</v>
      </c>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row>
    <row r="106" spans="1:84" x14ac:dyDescent="0.45">
      <c r="A106" s="1"/>
      <c r="B106" s="206" t="s">
        <v>124</v>
      </c>
      <c r="C106" s="191"/>
      <c r="D106" s="192"/>
      <c r="E106" s="193">
        <f>E98-E105</f>
        <v>455000</v>
      </c>
      <c r="F106" s="194">
        <f>F98-F105</f>
        <v>454321.11704977159</v>
      </c>
      <c r="G106" s="193">
        <f>G98-G105</f>
        <v>453577.85120977397</v>
      </c>
      <c r="H106" s="193">
        <f>H98-H105</f>
        <v>452763.54574528889</v>
      </c>
      <c r="I106" s="193">
        <f>I98-I105</f>
        <v>451871.00940709619</v>
      </c>
      <c r="J106" s="193">
        <f t="shared" ref="J106:S106" si="9">J98-J105</f>
        <v>450892.47868057055</v>
      </c>
      <c r="K106" s="193">
        <f t="shared" si="9"/>
        <v>449819.57752924098</v>
      </c>
      <c r="L106" s="193">
        <f t="shared" si="9"/>
        <v>448643.27447151748</v>
      </c>
      <c r="M106" s="193">
        <f t="shared" si="9"/>
        <v>447353.83681906114</v>
      </c>
      <c r="N106" s="193">
        <f t="shared" si="9"/>
        <v>445940.7818944031</v>
      </c>
      <c r="O106" s="193">
        <f t="shared" si="9"/>
        <v>444392.82503386005</v>
      </c>
      <c r="P106" s="193">
        <f t="shared" si="9"/>
        <v>442697.82416951132</v>
      </c>
      <c r="Q106" s="194">
        <f t="shared" si="9"/>
        <v>440842.72077094653</v>
      </c>
      <c r="R106" s="194">
        <f t="shared" si="9"/>
        <v>438813.47691361612</v>
      </c>
      <c r="S106" s="194">
        <f t="shared" si="9"/>
        <v>436595.00822586624</v>
      </c>
      <c r="T106" s="195">
        <f>T98-T105</f>
        <v>442421.11245106335</v>
      </c>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row>
    <row r="107" spans="1:84" x14ac:dyDescent="0.45">
      <c r="A107" s="1"/>
      <c r="B107" s="2" t="s">
        <v>125</v>
      </c>
      <c r="C107" s="1"/>
      <c r="D107" s="190"/>
      <c r="E107" s="188">
        <f>E41</f>
        <v>0</v>
      </c>
      <c r="F107" s="189">
        <f t="shared" ref="F107:T107" si="10">$E$107</f>
        <v>0</v>
      </c>
      <c r="G107" s="188">
        <f t="shared" si="10"/>
        <v>0</v>
      </c>
      <c r="H107" s="188">
        <f t="shared" si="10"/>
        <v>0</v>
      </c>
      <c r="I107" s="188">
        <f t="shared" si="10"/>
        <v>0</v>
      </c>
      <c r="J107" s="188">
        <f t="shared" si="10"/>
        <v>0</v>
      </c>
      <c r="K107" s="188">
        <f t="shared" si="10"/>
        <v>0</v>
      </c>
      <c r="L107" s="188">
        <f t="shared" si="10"/>
        <v>0</v>
      </c>
      <c r="M107" s="188">
        <f t="shared" si="10"/>
        <v>0</v>
      </c>
      <c r="N107" s="188">
        <f t="shared" si="10"/>
        <v>0</v>
      </c>
      <c r="O107" s="188">
        <f t="shared" si="10"/>
        <v>0</v>
      </c>
      <c r="P107" s="188">
        <f t="shared" si="10"/>
        <v>0</v>
      </c>
      <c r="Q107" s="189">
        <f t="shared" si="10"/>
        <v>0</v>
      </c>
      <c r="R107" s="189">
        <f t="shared" si="10"/>
        <v>0</v>
      </c>
      <c r="S107" s="189">
        <f t="shared" si="10"/>
        <v>0</v>
      </c>
      <c r="T107" s="24">
        <f t="shared" si="10"/>
        <v>0</v>
      </c>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row>
    <row r="108" spans="1:84" x14ac:dyDescent="0.45">
      <c r="A108" s="1"/>
      <c r="B108" s="2" t="s">
        <v>126</v>
      </c>
      <c r="C108" s="1"/>
      <c r="D108" s="190"/>
      <c r="E108" s="188">
        <f>E43</f>
        <v>20000</v>
      </c>
      <c r="F108" s="189">
        <f t="shared" ref="F108:T108" si="11">$E$108</f>
        <v>20000</v>
      </c>
      <c r="G108" s="188">
        <f t="shared" si="11"/>
        <v>20000</v>
      </c>
      <c r="H108" s="188">
        <f t="shared" si="11"/>
        <v>20000</v>
      </c>
      <c r="I108" s="188">
        <f t="shared" si="11"/>
        <v>20000</v>
      </c>
      <c r="J108" s="188">
        <f t="shared" si="11"/>
        <v>20000</v>
      </c>
      <c r="K108" s="188">
        <f t="shared" si="11"/>
        <v>20000</v>
      </c>
      <c r="L108" s="188">
        <f t="shared" si="11"/>
        <v>20000</v>
      </c>
      <c r="M108" s="188">
        <f t="shared" si="11"/>
        <v>20000</v>
      </c>
      <c r="N108" s="188">
        <f t="shared" si="11"/>
        <v>20000</v>
      </c>
      <c r="O108" s="188">
        <f t="shared" si="11"/>
        <v>20000</v>
      </c>
      <c r="P108" s="188">
        <f t="shared" si="11"/>
        <v>20000</v>
      </c>
      <c r="Q108" s="189">
        <f t="shared" si="11"/>
        <v>20000</v>
      </c>
      <c r="R108" s="189">
        <f t="shared" si="11"/>
        <v>20000</v>
      </c>
      <c r="S108" s="189">
        <f t="shared" si="11"/>
        <v>20000</v>
      </c>
      <c r="T108" s="24">
        <f t="shared" si="11"/>
        <v>20000</v>
      </c>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row>
    <row r="109" spans="1:84" x14ac:dyDescent="0.45">
      <c r="A109" s="1"/>
      <c r="B109" s="2" t="s">
        <v>127</v>
      </c>
      <c r="C109" s="1"/>
      <c r="D109" s="190"/>
      <c r="E109" s="188">
        <f>E44</f>
        <v>5000</v>
      </c>
      <c r="F109" s="189">
        <f t="shared" ref="F109:T109" si="12">$E$109</f>
        <v>5000</v>
      </c>
      <c r="G109" s="188">
        <f t="shared" si="12"/>
        <v>5000</v>
      </c>
      <c r="H109" s="188">
        <f t="shared" si="12"/>
        <v>5000</v>
      </c>
      <c r="I109" s="188">
        <f t="shared" si="12"/>
        <v>5000</v>
      </c>
      <c r="J109" s="188">
        <f t="shared" si="12"/>
        <v>5000</v>
      </c>
      <c r="K109" s="188">
        <f t="shared" si="12"/>
        <v>5000</v>
      </c>
      <c r="L109" s="188">
        <f t="shared" si="12"/>
        <v>5000</v>
      </c>
      <c r="M109" s="188">
        <f t="shared" si="12"/>
        <v>5000</v>
      </c>
      <c r="N109" s="188">
        <f t="shared" si="12"/>
        <v>5000</v>
      </c>
      <c r="O109" s="188">
        <f t="shared" si="12"/>
        <v>5000</v>
      </c>
      <c r="P109" s="188">
        <f t="shared" si="12"/>
        <v>5000</v>
      </c>
      <c r="Q109" s="189">
        <f t="shared" si="12"/>
        <v>5000</v>
      </c>
      <c r="R109" s="189">
        <f t="shared" si="12"/>
        <v>5000</v>
      </c>
      <c r="S109" s="189">
        <f t="shared" si="12"/>
        <v>5000</v>
      </c>
      <c r="T109" s="24">
        <f t="shared" si="12"/>
        <v>5000</v>
      </c>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row>
    <row r="110" spans="1:84" x14ac:dyDescent="0.45">
      <c r="A110" s="1"/>
      <c r="B110" s="2" t="s">
        <v>128</v>
      </c>
      <c r="C110" s="1"/>
      <c r="D110" s="190"/>
      <c r="E110" s="188">
        <f>E42</f>
        <v>20000</v>
      </c>
      <c r="F110" s="189">
        <f t="shared" ref="F110:T110" si="13">$E$110</f>
        <v>20000</v>
      </c>
      <c r="G110" s="188">
        <f t="shared" si="13"/>
        <v>20000</v>
      </c>
      <c r="H110" s="188">
        <f t="shared" si="13"/>
        <v>20000</v>
      </c>
      <c r="I110" s="188">
        <f t="shared" si="13"/>
        <v>20000</v>
      </c>
      <c r="J110" s="188">
        <f t="shared" si="13"/>
        <v>20000</v>
      </c>
      <c r="K110" s="188">
        <f t="shared" si="13"/>
        <v>20000</v>
      </c>
      <c r="L110" s="188">
        <f t="shared" si="13"/>
        <v>20000</v>
      </c>
      <c r="M110" s="188">
        <f t="shared" si="13"/>
        <v>20000</v>
      </c>
      <c r="N110" s="188">
        <f t="shared" si="13"/>
        <v>20000</v>
      </c>
      <c r="O110" s="188">
        <f t="shared" si="13"/>
        <v>20000</v>
      </c>
      <c r="P110" s="188">
        <f t="shared" si="13"/>
        <v>20000</v>
      </c>
      <c r="Q110" s="189">
        <f t="shared" si="13"/>
        <v>20000</v>
      </c>
      <c r="R110" s="189">
        <f t="shared" si="13"/>
        <v>20000</v>
      </c>
      <c r="S110" s="189">
        <f t="shared" si="13"/>
        <v>20000</v>
      </c>
      <c r="T110" s="24">
        <f t="shared" si="13"/>
        <v>20000</v>
      </c>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row>
    <row r="111" spans="1:84" x14ac:dyDescent="0.45">
      <c r="A111" s="1"/>
      <c r="B111" s="2" t="s">
        <v>129</v>
      </c>
      <c r="C111" s="1"/>
      <c r="D111" s="190"/>
      <c r="E111" s="207">
        <v>0</v>
      </c>
      <c r="F111" s="207">
        <f>$E$83*(1+$C$105)</f>
        <v>4645.2304616475321</v>
      </c>
      <c r="G111" s="207">
        <f>F111+($E$83*((1+$C$105)^G96))</f>
        <v>9383.3655325280142</v>
      </c>
      <c r="H111" s="207">
        <f t="shared" ref="H111:T111" si="14">G111+($E$83*((1+$C$105)^H96))</f>
        <v>14216.263304826105</v>
      </c>
      <c r="I111" s="207">
        <f t="shared" si="14"/>
        <v>19145.819032570158</v>
      </c>
      <c r="J111" s="207">
        <f t="shared" si="14"/>
        <v>24173.965874869093</v>
      </c>
      <c r="K111" s="207">
        <f t="shared" si="14"/>
        <v>29302.675654014005</v>
      </c>
      <c r="L111" s="207">
        <f t="shared" si="14"/>
        <v>34533.959628741817</v>
      </c>
      <c r="M111" s="207">
        <f t="shared" si="14"/>
        <v>39869.869282964188</v>
      </c>
      <c r="N111" s="207">
        <f t="shared" si="14"/>
        <v>45312.497130271004</v>
      </c>
      <c r="O111" s="207">
        <f t="shared" si="14"/>
        <v>50863.977534523954</v>
      </c>
      <c r="P111" s="207">
        <f t="shared" si="14"/>
        <v>56526.487546861965</v>
      </c>
      <c r="Q111" s="207">
        <f t="shared" si="14"/>
        <v>62302.247759446735</v>
      </c>
      <c r="R111" s="207">
        <f t="shared" si="14"/>
        <v>68193.523176283197</v>
      </c>
      <c r="S111" s="207">
        <f t="shared" si="14"/>
        <v>74202.6241014564</v>
      </c>
      <c r="T111" s="207">
        <f t="shared" si="14"/>
        <v>80331.907045133063</v>
      </c>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row>
    <row r="112" spans="1:84" x14ac:dyDescent="0.45">
      <c r="A112" s="1"/>
      <c r="B112" s="154" t="s">
        <v>345</v>
      </c>
      <c r="C112" s="208"/>
      <c r="D112" s="209"/>
      <c r="E112" s="193">
        <v>0</v>
      </c>
      <c r="F112" s="210">
        <f t="shared" ref="F112:T112" si="15">SUMIF($G$57:$G$71,F96,$J$57:$J$71)</f>
        <v>2783.6524885808508</v>
      </c>
      <c r="G112" s="211">
        <f t="shared" si="15"/>
        <v>5741.2832576980054</v>
      </c>
      <c r="H112" s="211">
        <f>SUMIF($G$57:$G$71,H96,$J$57:$J$71)</f>
        <v>8883.7659498849825</v>
      </c>
      <c r="I112" s="211">
        <f t="shared" si="15"/>
        <v>12222.653810333644</v>
      </c>
      <c r="J112" s="211">
        <f t="shared" si="15"/>
        <v>15770.222162060349</v>
      </c>
      <c r="K112" s="211">
        <f t="shared" si="15"/>
        <v>19539.513535769973</v>
      </c>
      <c r="L112" s="211">
        <f t="shared" si="15"/>
        <v>23544.385620336448</v>
      </c>
      <c r="M112" s="211">
        <f t="shared" si="15"/>
        <v>27799.562210188327</v>
      </c>
      <c r="N112" s="211">
        <f t="shared" si="15"/>
        <v>32320.687336905947</v>
      </c>
      <c r="O112" s="211">
        <f t="shared" si="15"/>
        <v>37124.382784043417</v>
      </c>
      <c r="P112" s="211">
        <f t="shared" si="15"/>
        <v>42228.309196626986</v>
      </c>
      <c r="Q112" s="210">
        <f t="shared" si="15"/>
        <v>47651.23100999702</v>
      </c>
      <c r="R112" s="210">
        <f t="shared" si="15"/>
        <v>53413.085436702684</v>
      </c>
      <c r="S112" s="210">
        <f t="shared" si="15"/>
        <v>59535.05576507745</v>
      </c>
      <c r="T112" s="212">
        <f t="shared" si="15"/>
        <v>66039.649238975646</v>
      </c>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row>
    <row r="113" spans="1:84" x14ac:dyDescent="0.45">
      <c r="A113" s="1"/>
      <c r="B113" s="213" t="s">
        <v>346</v>
      </c>
      <c r="C113" s="701"/>
      <c r="D113" s="702"/>
      <c r="E113" s="214"/>
      <c r="F113" s="215"/>
      <c r="G113" s="215"/>
      <c r="H113" s="215"/>
      <c r="I113" s="215"/>
      <c r="J113" s="215"/>
      <c r="K113" s="215"/>
      <c r="L113" s="215"/>
      <c r="M113" s="215"/>
      <c r="N113" s="215"/>
      <c r="O113" s="215"/>
      <c r="P113" s="215"/>
      <c r="Q113" s="216"/>
      <c r="R113" s="216"/>
      <c r="S113" s="216"/>
      <c r="T113" s="217"/>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row>
    <row r="114" spans="1:84" x14ac:dyDescent="0.45">
      <c r="A114" s="1"/>
      <c r="B114" s="154" t="s">
        <v>130</v>
      </c>
      <c r="C114" s="208"/>
      <c r="D114" s="209"/>
      <c r="E114" s="218">
        <f>$E$32</f>
        <v>100000</v>
      </c>
      <c r="F114" s="219">
        <f t="shared" ref="F114:T114" si="16">(E114*(1+$C$105))</f>
        <v>102000</v>
      </c>
      <c r="G114" s="218">
        <f t="shared" si="16"/>
        <v>104040</v>
      </c>
      <c r="H114" s="218">
        <f t="shared" si="16"/>
        <v>106120.8</v>
      </c>
      <c r="I114" s="218">
        <f t="shared" si="16"/>
        <v>108243.216</v>
      </c>
      <c r="J114" s="218">
        <f t="shared" si="16"/>
        <v>110408.08032000001</v>
      </c>
      <c r="K114" s="218">
        <f t="shared" si="16"/>
        <v>112616.24192640001</v>
      </c>
      <c r="L114" s="218">
        <f t="shared" si="16"/>
        <v>114868.56676492801</v>
      </c>
      <c r="M114" s="218">
        <f t="shared" si="16"/>
        <v>117165.93810022657</v>
      </c>
      <c r="N114" s="218">
        <f t="shared" si="16"/>
        <v>119509.25686223111</v>
      </c>
      <c r="O114" s="218">
        <f t="shared" si="16"/>
        <v>121899.44199947573</v>
      </c>
      <c r="P114" s="218">
        <f t="shared" si="16"/>
        <v>124337.43083946525</v>
      </c>
      <c r="Q114" s="219">
        <f t="shared" si="16"/>
        <v>126824.17945625455</v>
      </c>
      <c r="R114" s="219">
        <f t="shared" si="16"/>
        <v>129360.66304537965</v>
      </c>
      <c r="S114" s="219">
        <f t="shared" si="16"/>
        <v>131947.87630628725</v>
      </c>
      <c r="T114" s="220">
        <f t="shared" si="16"/>
        <v>134586.83383241299</v>
      </c>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row>
    <row r="115" spans="1:84" x14ac:dyDescent="0.45">
      <c r="A115" s="1"/>
      <c r="B115" s="154" t="s">
        <v>131</v>
      </c>
      <c r="C115" s="208"/>
      <c r="D115" s="209"/>
      <c r="E115" s="218">
        <f t="shared" ref="E115:T115" si="17">-PMT($H$54,$H$55,E106)</f>
        <v>33944.290792627333</v>
      </c>
      <c r="F115" s="219">
        <f t="shared" si="17"/>
        <v>33893.644198612586</v>
      </c>
      <c r="G115" s="218">
        <f t="shared" si="17"/>
        <v>33838.194458372796</v>
      </c>
      <c r="H115" s="218">
        <f t="shared" si="17"/>
        <v>33777.444960613437</v>
      </c>
      <c r="I115" s="218">
        <f t="shared" si="17"/>
        <v>33710.859217741789</v>
      </c>
      <c r="J115" s="218">
        <f t="shared" si="17"/>
        <v>33637.858049542432</v>
      </c>
      <c r="K115" s="218">
        <f t="shared" si="17"/>
        <v>33557.816579932602</v>
      </c>
      <c r="L115" s="218">
        <f t="shared" si="17"/>
        <v>33470.0610347642</v>
      </c>
      <c r="M115" s="218">
        <f t="shared" si="17"/>
        <v>33373.86532787641</v>
      </c>
      <c r="N115" s="218">
        <f t="shared" si="17"/>
        <v>33268.447421791694</v>
      </c>
      <c r="O115" s="218">
        <f t="shared" si="17"/>
        <v>33152.965448585725</v>
      </c>
      <c r="P115" s="218">
        <f t="shared" si="17"/>
        <v>33026.513575545709</v>
      </c>
      <c r="Q115" s="219">
        <f t="shared" si="17"/>
        <v>32888.117599257195</v>
      </c>
      <c r="R115" s="219">
        <f t="shared" si="17"/>
        <v>32736.7302507245</v>
      </c>
      <c r="S115" s="219">
        <f t="shared" si="17"/>
        <v>32571.226193029292</v>
      </c>
      <c r="T115" s="220">
        <f t="shared" si="17"/>
        <v>33005.870096344115</v>
      </c>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row>
    <row r="116" spans="1:84" x14ac:dyDescent="0.45">
      <c r="A116" s="1"/>
      <c r="B116" s="206" t="s">
        <v>132</v>
      </c>
      <c r="C116" s="191"/>
      <c r="D116" s="209"/>
      <c r="E116" s="221">
        <f>($E$64+$E$65)*52</f>
        <v>4732</v>
      </c>
      <c r="F116" s="221">
        <f>E116*(1+$C$105)</f>
        <v>4826.6400000000003</v>
      </c>
      <c r="G116" s="221">
        <f t="shared" ref="G116:S116" si="18">F116*(1+$C$105)</f>
        <v>4923.1728000000003</v>
      </c>
      <c r="H116" s="221">
        <f t="shared" si="18"/>
        <v>5021.6362560000007</v>
      </c>
      <c r="I116" s="221">
        <f t="shared" si="18"/>
        <v>5122.0689811200009</v>
      </c>
      <c r="J116" s="221">
        <f t="shared" si="18"/>
        <v>5224.5103607424007</v>
      </c>
      <c r="K116" s="221">
        <f t="shared" si="18"/>
        <v>5329.0005679572487</v>
      </c>
      <c r="L116" s="221">
        <f t="shared" si="18"/>
        <v>5435.5805793163936</v>
      </c>
      <c r="M116" s="221">
        <f t="shared" si="18"/>
        <v>5544.2921909027218</v>
      </c>
      <c r="N116" s="221">
        <f t="shared" si="18"/>
        <v>5655.1780347207759</v>
      </c>
      <c r="O116" s="221">
        <f t="shared" si="18"/>
        <v>5768.281595415192</v>
      </c>
      <c r="P116" s="221">
        <f t="shared" si="18"/>
        <v>5883.6472273234958</v>
      </c>
      <c r="Q116" s="222">
        <f t="shared" si="18"/>
        <v>6001.3201718699656</v>
      </c>
      <c r="R116" s="222">
        <f t="shared" si="18"/>
        <v>6121.3465753073651</v>
      </c>
      <c r="S116" s="222">
        <f t="shared" si="18"/>
        <v>6243.7735068135125</v>
      </c>
      <c r="T116" s="223">
        <f>S116*(1+$C$105)</f>
        <v>6368.648976949783</v>
      </c>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row>
    <row r="117" spans="1:84" x14ac:dyDescent="0.45">
      <c r="A117" s="1"/>
      <c r="B117" s="196" t="s">
        <v>133</v>
      </c>
      <c r="C117" s="691" t="s">
        <v>134</v>
      </c>
      <c r="D117" s="692"/>
      <c r="E117" s="224"/>
      <c r="F117" s="198"/>
      <c r="G117" s="199"/>
      <c r="H117" s="199"/>
      <c r="I117" s="199"/>
      <c r="J117" s="199"/>
      <c r="K117" s="199"/>
      <c r="L117" s="199"/>
      <c r="M117" s="199"/>
      <c r="N117" s="199"/>
      <c r="O117" s="199"/>
      <c r="P117" s="199"/>
      <c r="Q117" s="198"/>
      <c r="R117" s="198"/>
      <c r="S117" s="198"/>
      <c r="T117" s="200"/>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row>
    <row r="118" spans="1:84" x14ac:dyDescent="0.45">
      <c r="A118" s="1"/>
      <c r="B118" s="154" t="s">
        <v>135</v>
      </c>
      <c r="C118" s="208"/>
      <c r="D118" s="209"/>
      <c r="E118" s="211">
        <f>SUM($E$115:$E$116)/52</f>
        <v>743.77482293514106</v>
      </c>
      <c r="F118" s="210">
        <f>SUM(F115:F116)/52</f>
        <v>744.62084997331897</v>
      </c>
      <c r="G118" s="211">
        <f t="shared" ref="G118:T118" si="19">SUM(G115:G116)/52</f>
        <v>745.4109088148615</v>
      </c>
      <c r="H118" s="211">
        <f t="shared" si="19"/>
        <v>746.13617724256608</v>
      </c>
      <c r="I118" s="211">
        <f t="shared" si="19"/>
        <v>746.78708074734209</v>
      </c>
      <c r="J118" s="211">
        <f t="shared" si="19"/>
        <v>747.35323865932378</v>
      </c>
      <c r="K118" s="211">
        <f t="shared" si="19"/>
        <v>747.82340669018947</v>
      </c>
      <c r="L118" s="211">
        <f t="shared" si="19"/>
        <v>748.18541565539613</v>
      </c>
      <c r="M118" s="211">
        <f t="shared" si="19"/>
        <v>748.42610613036788</v>
      </c>
      <c r="N118" s="211">
        <f t="shared" si="19"/>
        <v>748.53125877908599</v>
      </c>
      <c r="O118" s="211">
        <f t="shared" si="19"/>
        <v>748.48552007694082</v>
      </c>
      <c r="P118" s="211">
        <f t="shared" si="19"/>
        <v>748.27232313210015</v>
      </c>
      <c r="Q118" s="210">
        <f t="shared" si="19"/>
        <v>747.87380329090695</v>
      </c>
      <c r="R118" s="210">
        <f t="shared" si="19"/>
        <v>747.27070819292044</v>
      </c>
      <c r="S118" s="210">
        <f t="shared" si="19"/>
        <v>746.44230192005386</v>
      </c>
      <c r="T118" s="212">
        <f t="shared" si="19"/>
        <v>757.20228987103656</v>
      </c>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row>
    <row r="119" spans="1:84" x14ac:dyDescent="0.45">
      <c r="A119" s="1"/>
      <c r="B119" s="154" t="s">
        <v>136</v>
      </c>
      <c r="C119" s="703">
        <v>500</v>
      </c>
      <c r="D119" s="704"/>
      <c r="E119" s="211">
        <f>C119</f>
        <v>500</v>
      </c>
      <c r="F119" s="189">
        <f>C119*(1+$C$105)</f>
        <v>510</v>
      </c>
      <c r="G119" s="188">
        <f>F119*(1+$C$105)</f>
        <v>520.20000000000005</v>
      </c>
      <c r="H119" s="188">
        <f t="shared" ref="H119:T119" si="20">G119*(1+$C$105)</f>
        <v>530.60400000000004</v>
      </c>
      <c r="I119" s="188">
        <f>H119*(1+$C$105)</f>
        <v>541.21608000000003</v>
      </c>
      <c r="J119" s="188">
        <f t="shared" si="20"/>
        <v>552.0404016</v>
      </c>
      <c r="K119" s="188">
        <f t="shared" si="20"/>
        <v>563.08120963199997</v>
      </c>
      <c r="L119" s="188">
        <f t="shared" si="20"/>
        <v>574.34283382464002</v>
      </c>
      <c r="M119" s="188">
        <f t="shared" si="20"/>
        <v>585.82969050113286</v>
      </c>
      <c r="N119" s="188">
        <f t="shared" si="20"/>
        <v>597.54628431115555</v>
      </c>
      <c r="O119" s="188">
        <f t="shared" si="20"/>
        <v>609.49720999737872</v>
      </c>
      <c r="P119" s="188">
        <f t="shared" si="20"/>
        <v>621.68715419732632</v>
      </c>
      <c r="Q119" s="188">
        <f t="shared" si="20"/>
        <v>634.12089728127285</v>
      </c>
      <c r="R119" s="188">
        <f t="shared" si="20"/>
        <v>646.80331522689835</v>
      </c>
      <c r="S119" s="188">
        <f t="shared" si="20"/>
        <v>659.73938153143638</v>
      </c>
      <c r="T119" s="188">
        <f t="shared" si="20"/>
        <v>672.93416916206513</v>
      </c>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row>
    <row r="120" spans="1:84" x14ac:dyDescent="0.45">
      <c r="A120" s="1"/>
      <c r="B120" s="154" t="s">
        <v>137</v>
      </c>
      <c r="C120" s="1"/>
      <c r="D120" s="190"/>
      <c r="E120" s="207">
        <f>C119-E118</f>
        <v>-243.77482293514106</v>
      </c>
      <c r="F120" s="207">
        <f t="shared" ref="F120:T120" si="21">F119-F118</f>
        <v>-234.62084997331897</v>
      </c>
      <c r="G120" s="207">
        <f t="shared" si="21"/>
        <v>-225.21090881486145</v>
      </c>
      <c r="H120" s="207">
        <f t="shared" si="21"/>
        <v>-215.53217724256604</v>
      </c>
      <c r="I120" s="207">
        <f t="shared" si="21"/>
        <v>-205.57100074734205</v>
      </c>
      <c r="J120" s="207">
        <f t="shared" si="21"/>
        <v>-195.31283705932378</v>
      </c>
      <c r="K120" s="207">
        <f t="shared" si="21"/>
        <v>-184.7421970581895</v>
      </c>
      <c r="L120" s="207">
        <f t="shared" si="21"/>
        <v>-173.8425818307561</v>
      </c>
      <c r="M120" s="207">
        <f t="shared" si="21"/>
        <v>-162.59641562923503</v>
      </c>
      <c r="N120" s="207">
        <f t="shared" si="21"/>
        <v>-150.98497446793044</v>
      </c>
      <c r="O120" s="207">
        <f t="shared" si="21"/>
        <v>-138.9883100795621</v>
      </c>
      <c r="P120" s="207">
        <f t="shared" si="21"/>
        <v>-126.58516893477383</v>
      </c>
      <c r="Q120" s="207">
        <f t="shared" si="21"/>
        <v>-113.7529060096341</v>
      </c>
      <c r="R120" s="207">
        <f t="shared" si="21"/>
        <v>-100.46739296602209</v>
      </c>
      <c r="S120" s="207">
        <f t="shared" si="21"/>
        <v>-86.702920388617486</v>
      </c>
      <c r="T120" s="207">
        <f t="shared" si="21"/>
        <v>-84.268120708971423</v>
      </c>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row>
    <row r="121" spans="1:84" ht="16.899999999999999" customHeight="1" x14ac:dyDescent="0.45">
      <c r="A121" s="1"/>
      <c r="B121" s="322" t="s">
        <v>138</v>
      </c>
      <c r="C121" s="354"/>
      <c r="D121" s="355"/>
      <c r="E121" s="356">
        <f>E106/E98</f>
        <v>0.91</v>
      </c>
      <c r="F121" s="356">
        <f>F106/F98</f>
        <v>0.88217692631023614</v>
      </c>
      <c r="G121" s="356">
        <f>G106/G98</f>
        <v>0.85508125404802338</v>
      </c>
      <c r="H121" s="356">
        <f>H106/H98</f>
        <v>0.82868556509592772</v>
      </c>
      <c r="I121" s="356">
        <f t="shared" ref="I121:R121" si="22">I106/I98</f>
        <v>0.80296307837358671</v>
      </c>
      <c r="J121" s="356">
        <f t="shared" si="22"/>
        <v>0.77788762584521909</v>
      </c>
      <c r="K121" s="356">
        <f t="shared" si="22"/>
        <v>0.75343362905766365</v>
      </c>
      <c r="L121" s="356">
        <f t="shared" si="22"/>
        <v>0.72957607618815445</v>
      </c>
      <c r="M121" s="356">
        <f>M106/M98</f>
        <v>0.70629049958147272</v>
      </c>
      <c r="N121" s="356">
        <f t="shared" si="22"/>
        <v>0.68355295375654079</v>
      </c>
      <c r="O121" s="356">
        <f t="shared" si="22"/>
        <v>0.66133999386292053</v>
      </c>
      <c r="P121" s="356">
        <f t="shared" si="22"/>
        <v>0.6396286545680655</v>
      </c>
      <c r="Q121" s="356">
        <f>Q106/Q98</f>
        <v>0.61839642935654138</v>
      </c>
      <c r="R121" s="356">
        <f t="shared" si="22"/>
        <v>0.59762125022278445</v>
      </c>
      <c r="S121" s="356">
        <f>S106/S98</f>
        <v>0.57728146773929323</v>
      </c>
      <c r="T121" s="356">
        <f>T106/T98</f>
        <v>0.5679465536145234</v>
      </c>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row>
    <row r="122" spans="1:84" x14ac:dyDescent="0.45">
      <c r="A122" s="1"/>
      <c r="B122" s="225" t="s">
        <v>139</v>
      </c>
      <c r="C122" s="118"/>
      <c r="D122" s="226"/>
      <c r="E122" s="227">
        <f>SUM($E$115:$E$116)/$E$114</f>
        <v>0.38676290792627332</v>
      </c>
      <c r="F122" s="227">
        <f>SUM(F115:F116)/F114</f>
        <v>0.37961062939816259</v>
      </c>
      <c r="G122" s="227">
        <f t="shared" ref="G122:S122" si="23">SUM(G115:G116)/G114</f>
        <v>0.3725621612684813</v>
      </c>
      <c r="H122" s="227">
        <f>SUM(H115:H116)/H114</f>
        <v>0.36561240790319555</v>
      </c>
      <c r="I122" s="227">
        <f t="shared" si="23"/>
        <v>0.35875623095734505</v>
      </c>
      <c r="J122" s="227">
        <f t="shared" si="23"/>
        <v>0.35198844412155822</v>
      </c>
      <c r="K122" s="227">
        <f t="shared" si="23"/>
        <v>0.34530380771633462</v>
      </c>
      <c r="L122" s="227">
        <f t="shared" si="23"/>
        <v>0.33869702312642919</v>
      </c>
      <c r="M122" s="227">
        <f t="shared" si="23"/>
        <v>0.33216272706738026</v>
      </c>
      <c r="N122" s="227">
        <f>SUM(N115:N116)/N114</f>
        <v>0.32569548567591861</v>
      </c>
      <c r="O122" s="227">
        <f t="shared" si="23"/>
        <v>0.31928978841567063</v>
      </c>
      <c r="P122" s="227">
        <f t="shared" si="23"/>
        <v>0.31294004178924173</v>
      </c>
      <c r="Q122" s="227">
        <f t="shared" si="23"/>
        <v>0.30664056284741259</v>
      </c>
      <c r="R122" s="227">
        <f>SUM(R115:R116)/R114</f>
        <v>0.30038557248582187</v>
      </c>
      <c r="S122" s="227">
        <f t="shared" si="23"/>
        <v>0.29416918851912804</v>
      </c>
      <c r="T122" s="227">
        <f>SUM(T115:T116)/T114</f>
        <v>0.29255847657671258</v>
      </c>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row>
    <row r="123" spans="1:84" x14ac:dyDescent="0.45">
      <c r="A123" s="1"/>
      <c r="B123" s="1"/>
      <c r="C123" s="1"/>
      <c r="D123" s="1"/>
      <c r="E123" s="1"/>
      <c r="F123" s="1"/>
      <c r="G123" s="1"/>
      <c r="H123" s="1"/>
      <c r="I123" s="1"/>
      <c r="J123" s="1"/>
      <c r="K123" s="1"/>
      <c r="L123" s="1"/>
      <c r="M123" s="1"/>
      <c r="N123" s="1"/>
      <c r="O123" s="1"/>
      <c r="P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row>
    <row r="124" spans="1:84" x14ac:dyDescent="0.45">
      <c r="A124" s="1"/>
      <c r="B124" s="1"/>
      <c r="C124" s="1"/>
      <c r="D124" s="1"/>
      <c r="E124" s="1"/>
      <c r="F124" s="1"/>
      <c r="G124" s="1"/>
      <c r="H124" s="1"/>
      <c r="I124" s="1"/>
      <c r="J124" s="1"/>
      <c r="K124" s="1"/>
      <c r="L124" s="1"/>
      <c r="M124" s="1"/>
      <c r="N124" s="1"/>
      <c r="O124" s="1"/>
      <c r="P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row>
    <row r="125" spans="1:84" ht="15.75" x14ac:dyDescent="0.5">
      <c r="A125" s="1"/>
      <c r="B125" s="1"/>
      <c r="C125" s="1"/>
      <c r="D125" s="1"/>
      <c r="E125" s="1"/>
      <c r="F125" s="705" t="s">
        <v>140</v>
      </c>
      <c r="G125" s="706"/>
      <c r="H125" s="1"/>
      <c r="I125" s="1"/>
      <c r="J125" s="1"/>
      <c r="K125" s="1"/>
      <c r="L125" s="1"/>
      <c r="M125" s="1"/>
      <c r="N125" s="1"/>
      <c r="O125" s="1"/>
      <c r="P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row>
    <row r="126" spans="1:84" ht="15.75" x14ac:dyDescent="0.5">
      <c r="A126" s="1"/>
      <c r="B126" s="1"/>
      <c r="C126" s="1"/>
      <c r="D126" s="1"/>
      <c r="E126" s="1"/>
      <c r="F126" s="693" t="s">
        <v>141</v>
      </c>
      <c r="G126" s="694"/>
      <c r="H126" s="1"/>
      <c r="I126" s="1"/>
      <c r="J126" s="1"/>
      <c r="K126" s="1"/>
      <c r="L126" s="1"/>
      <c r="M126" s="1"/>
      <c r="N126" s="1"/>
      <c r="O126" s="1"/>
      <c r="P126" s="1"/>
    </row>
    <row r="127" spans="1:84" ht="15.75" x14ac:dyDescent="0.5">
      <c r="A127" s="1"/>
      <c r="B127" s="1"/>
      <c r="C127" s="1"/>
      <c r="D127" s="1"/>
      <c r="E127" s="1"/>
      <c r="F127" s="693" t="s">
        <v>142</v>
      </c>
      <c r="G127" s="694"/>
      <c r="H127" s="1"/>
      <c r="I127" s="1"/>
      <c r="J127" s="1"/>
      <c r="K127" s="1"/>
      <c r="L127" s="1"/>
      <c r="M127" s="1"/>
      <c r="N127" s="1"/>
      <c r="O127" s="1"/>
      <c r="P127" s="1"/>
    </row>
    <row r="128" spans="1:84" ht="15.75" x14ac:dyDescent="0.5">
      <c r="A128" s="1"/>
      <c r="B128" s="1"/>
      <c r="C128" s="1"/>
      <c r="D128" s="1"/>
      <c r="E128" s="1"/>
      <c r="F128" s="695" t="str">
        <f>IF(G130="NOT POSSIBLE",G130,"YEAR"&amp;" "&amp;G130)</f>
        <v>YEAR 13</v>
      </c>
      <c r="G128" s="696"/>
      <c r="H128" s="1"/>
      <c r="I128" s="1"/>
      <c r="J128" s="1"/>
      <c r="K128" s="1"/>
      <c r="L128" s="1"/>
      <c r="M128" s="1"/>
      <c r="N128" s="1"/>
      <c r="O128" s="1"/>
      <c r="P128" s="1"/>
    </row>
    <row r="129" spans="1:16" x14ac:dyDescent="0.45">
      <c r="A129" s="1"/>
      <c r="B129" s="1"/>
      <c r="C129" s="1"/>
      <c r="D129" s="1"/>
      <c r="E129" s="1"/>
      <c r="F129" s="659"/>
      <c r="G129" s="660"/>
      <c r="H129" s="659"/>
      <c r="I129" s="1"/>
      <c r="J129" s="1"/>
      <c r="K129" s="1"/>
      <c r="L129" s="1"/>
      <c r="M129" s="1"/>
      <c r="N129" s="1"/>
      <c r="O129" s="1"/>
      <c r="P129" s="1"/>
    </row>
    <row r="130" spans="1:16" x14ac:dyDescent="0.45">
      <c r="A130" s="1"/>
      <c r="B130" s="1"/>
      <c r="C130" s="1"/>
      <c r="D130" s="1"/>
      <c r="E130" s="1"/>
      <c r="F130" s="91" t="s">
        <v>433</v>
      </c>
      <c r="G130" s="94">
        <f>IF(AND($G$121&lt;=0.7,$G$122&lt;=0.3),1,(IF(AND($H$121=0.7,$H$122&lt;=0.3),2,(IF(AND($I$121&lt;=0.7,$I$122&lt;=0.3),3,(IF(AND($J$121&lt;=0.7,$J$122&lt;=0.3),4,(IF(AND($K$121&lt;=0.7,$K$122&lt;=0.3),5,(IF(AND($L$121&lt;=0.7,$L$122&lt;=0.3),6,(IF(AND($M$121&lt;=0.7,$M$122&lt;=0.3),7,(IF(AND($N$121&lt;=0.7,$N$122&lt;=0.3),8,(IF(AND($O$121&lt;=0.7,$O$122&lt;=0.3),9,(IF(AND($P$121&lt;=0.7,$P$122&lt;=0.3),10,(IF(AND($Q$121&lt;=0.7,$Q$122&lt;=0.3),11,(IF(AND($R$121&lt;=0.7,$R$122&lt;=0.3),12,(IF(AND($S$121&lt;=0.7,$S$122&lt;=0.3),13,(IF(AND($T$121&lt;=0.7,$T$122&lt;=0.3),14,"NOT POSSIBLE")))))))))))))))))))))))))))</f>
        <v>13</v>
      </c>
      <c r="H130" s="659"/>
      <c r="I130" s="1"/>
      <c r="J130" s="1"/>
      <c r="K130" s="1"/>
      <c r="L130" s="1"/>
      <c r="M130" s="1"/>
      <c r="N130" s="1"/>
      <c r="O130" s="1"/>
      <c r="P130" s="1"/>
    </row>
    <row r="131" spans="1:16" x14ac:dyDescent="0.45">
      <c r="A131" s="1"/>
      <c r="B131" s="1"/>
      <c r="C131" s="1"/>
      <c r="D131" s="1"/>
      <c r="E131" s="1"/>
      <c r="F131" s="659"/>
      <c r="G131" s="659"/>
      <c r="H131" s="659"/>
      <c r="I131" s="1"/>
      <c r="J131" s="1"/>
      <c r="K131" s="1"/>
      <c r="L131" s="1"/>
      <c r="M131" s="1"/>
      <c r="N131" s="1"/>
      <c r="O131" s="1"/>
      <c r="P131" s="1"/>
    </row>
    <row r="132" spans="1:16" x14ac:dyDescent="0.45">
      <c r="A132" s="1"/>
      <c r="B132" s="1"/>
      <c r="C132" s="1"/>
      <c r="D132" s="1"/>
      <c r="E132" s="1"/>
      <c r="F132" s="659"/>
      <c r="G132" s="659"/>
      <c r="H132" s="659"/>
      <c r="I132" s="1"/>
      <c r="J132" s="1"/>
      <c r="K132" s="1"/>
      <c r="L132" s="1"/>
      <c r="M132" s="1"/>
      <c r="N132" s="1"/>
      <c r="O132" s="1"/>
      <c r="P132" s="1"/>
    </row>
    <row r="133" spans="1:16" x14ac:dyDescent="0.45">
      <c r="A133" s="1"/>
      <c r="B133" s="1"/>
      <c r="C133" s="1"/>
      <c r="D133" s="1"/>
      <c r="E133" s="1"/>
      <c r="F133" s="659"/>
      <c r="G133" s="659"/>
      <c r="H133" s="659"/>
      <c r="I133" s="1"/>
      <c r="J133" s="1"/>
      <c r="K133" s="1"/>
      <c r="L133" s="1"/>
      <c r="M133" s="1"/>
      <c r="N133" s="1"/>
      <c r="O133" s="1"/>
      <c r="P133" s="1"/>
    </row>
    <row r="134" spans="1:16" x14ac:dyDescent="0.45">
      <c r="A134" s="1"/>
      <c r="B134" s="1"/>
      <c r="C134" s="1"/>
      <c r="D134" s="1"/>
      <c r="E134" s="1"/>
      <c r="F134" s="659"/>
      <c r="G134" s="659"/>
      <c r="H134" s="659"/>
      <c r="I134" s="1"/>
      <c r="J134" s="1"/>
      <c r="K134" s="1"/>
      <c r="L134" s="1"/>
      <c r="M134" s="1"/>
      <c r="N134" s="1"/>
      <c r="O134" s="1"/>
      <c r="P134" s="1"/>
    </row>
    <row r="135" spans="1:16" x14ac:dyDescent="0.45">
      <c r="A135" s="1"/>
      <c r="B135" s="1"/>
      <c r="C135" s="1"/>
      <c r="D135" s="1"/>
      <c r="E135" s="1"/>
      <c r="F135" s="659"/>
      <c r="G135" s="659"/>
      <c r="H135" s="659"/>
      <c r="I135" s="1"/>
      <c r="J135" s="1"/>
      <c r="K135" s="1"/>
      <c r="L135" s="1"/>
      <c r="M135" s="1"/>
      <c r="N135" s="1"/>
      <c r="O135" s="1"/>
      <c r="P135" s="1"/>
    </row>
    <row r="136" spans="1:16" x14ac:dyDescent="0.45">
      <c r="A136" s="1"/>
      <c r="B136" s="1"/>
      <c r="C136" s="1"/>
      <c r="D136" s="1"/>
      <c r="E136" s="1"/>
      <c r="F136" s="659"/>
      <c r="G136" s="659"/>
      <c r="H136" s="659"/>
      <c r="I136" s="1"/>
      <c r="J136" s="1"/>
      <c r="K136" s="1"/>
      <c r="L136" s="1"/>
      <c r="M136" s="1"/>
      <c r="N136" s="1"/>
      <c r="O136" s="1"/>
      <c r="P136" s="1"/>
    </row>
    <row r="137" spans="1:16" x14ac:dyDescent="0.45">
      <c r="A137" s="1"/>
      <c r="B137" s="1"/>
      <c r="C137" s="1"/>
      <c r="D137" s="1"/>
      <c r="E137" s="1"/>
      <c r="F137" s="1"/>
      <c r="G137" s="1"/>
      <c r="H137" s="1"/>
      <c r="I137" s="1"/>
      <c r="J137" s="1"/>
      <c r="K137" s="1"/>
      <c r="L137" s="1"/>
      <c r="M137" s="1"/>
      <c r="N137" s="1"/>
      <c r="O137" s="1"/>
      <c r="P137" s="1"/>
    </row>
    <row r="138" spans="1:16" x14ac:dyDescent="0.45">
      <c r="A138" s="1"/>
      <c r="B138" s="1"/>
      <c r="C138" s="1"/>
      <c r="D138" s="1"/>
      <c r="E138" s="1"/>
      <c r="F138" s="1"/>
      <c r="G138" s="1"/>
      <c r="H138" s="1"/>
      <c r="I138" s="1"/>
      <c r="J138" s="1"/>
      <c r="K138" s="1"/>
      <c r="L138" s="1"/>
      <c r="M138" s="1"/>
      <c r="N138" s="1"/>
      <c r="O138" s="1"/>
      <c r="P138" s="1"/>
    </row>
    <row r="139" spans="1:16" x14ac:dyDescent="0.45">
      <c r="A139" s="1"/>
      <c r="B139" s="1"/>
      <c r="C139" s="1"/>
      <c r="D139" s="1"/>
      <c r="E139" s="1"/>
      <c r="F139" s="1"/>
      <c r="G139" s="1"/>
      <c r="H139" s="1"/>
      <c r="I139" s="1"/>
      <c r="J139" s="1"/>
      <c r="K139" s="1"/>
      <c r="L139" s="1"/>
      <c r="M139" s="1"/>
      <c r="N139" s="1"/>
      <c r="O139" s="1"/>
      <c r="P139" s="1"/>
    </row>
    <row r="140" spans="1:16" x14ac:dyDescent="0.45">
      <c r="A140" s="1"/>
      <c r="B140" s="1"/>
      <c r="C140" s="1"/>
      <c r="D140" s="1"/>
      <c r="E140" s="1"/>
      <c r="F140" s="1"/>
      <c r="G140" s="1"/>
      <c r="H140" s="1"/>
      <c r="I140" s="1"/>
      <c r="J140" s="1"/>
      <c r="K140" s="1"/>
      <c r="L140" s="1"/>
      <c r="M140" s="1"/>
      <c r="N140" s="1"/>
      <c r="O140" s="1"/>
      <c r="P140" s="1"/>
    </row>
    <row r="141" spans="1:16" x14ac:dyDescent="0.45">
      <c r="A141" s="1"/>
      <c r="B141" s="1"/>
      <c r="C141" s="1"/>
      <c r="D141" s="1"/>
      <c r="E141" s="1"/>
      <c r="F141" s="1"/>
      <c r="G141" s="1"/>
      <c r="H141" s="1"/>
      <c r="I141" s="1"/>
      <c r="J141" s="1"/>
      <c r="K141" s="1"/>
      <c r="L141" s="1"/>
      <c r="M141" s="1"/>
      <c r="N141" s="1"/>
      <c r="O141" s="1"/>
      <c r="P141" s="1"/>
    </row>
    <row r="142" spans="1:16" x14ac:dyDescent="0.45">
      <c r="A142" s="1"/>
      <c r="B142" s="1"/>
      <c r="C142" s="1"/>
      <c r="D142" s="1"/>
      <c r="E142" s="1"/>
      <c r="F142" s="1"/>
      <c r="G142" s="1"/>
      <c r="H142" s="1"/>
      <c r="I142" s="1"/>
      <c r="J142" s="1"/>
      <c r="K142" s="1"/>
      <c r="L142" s="1"/>
      <c r="M142" s="1"/>
      <c r="N142" s="1"/>
      <c r="O142" s="1"/>
      <c r="P142" s="1"/>
    </row>
    <row r="143" spans="1:16" x14ac:dyDescent="0.45">
      <c r="A143" s="1"/>
      <c r="B143" s="1"/>
      <c r="C143" s="1"/>
      <c r="D143" s="1"/>
      <c r="E143" s="1"/>
      <c r="F143" s="1"/>
      <c r="G143" s="1"/>
      <c r="H143" s="1"/>
      <c r="I143" s="1"/>
      <c r="J143" s="1"/>
      <c r="K143" s="1"/>
      <c r="L143" s="1"/>
      <c r="M143" s="1"/>
      <c r="N143" s="1"/>
      <c r="O143" s="1"/>
      <c r="P143" s="1"/>
    </row>
    <row r="144" spans="1:16" x14ac:dyDescent="0.45">
      <c r="A144" s="1"/>
      <c r="B144" s="1"/>
      <c r="C144" s="1"/>
      <c r="D144" s="1"/>
      <c r="E144" s="1"/>
      <c r="F144" s="1"/>
      <c r="G144" s="1"/>
      <c r="H144" s="1"/>
      <c r="I144" s="1"/>
      <c r="J144" s="1"/>
      <c r="K144" s="1"/>
      <c r="L144" s="1"/>
      <c r="M144" s="1"/>
      <c r="N144" s="1"/>
      <c r="O144" s="1"/>
      <c r="P144" s="1"/>
    </row>
    <row r="145" spans="1:16" x14ac:dyDescent="0.45">
      <c r="A145" s="1"/>
      <c r="B145" s="1"/>
      <c r="C145" s="1"/>
      <c r="D145" s="1"/>
      <c r="E145" s="1"/>
      <c r="F145" s="1"/>
      <c r="G145" s="1"/>
      <c r="H145" s="1"/>
      <c r="I145" s="1"/>
      <c r="J145" s="1"/>
      <c r="K145" s="1"/>
      <c r="L145" s="1"/>
      <c r="M145" s="1"/>
      <c r="N145" s="1"/>
      <c r="O145" s="1"/>
      <c r="P145" s="1"/>
    </row>
    <row r="146" spans="1:16" x14ac:dyDescent="0.45">
      <c r="A146" s="1"/>
      <c r="B146" s="1"/>
      <c r="C146" s="1"/>
      <c r="D146" s="1"/>
      <c r="E146" s="1"/>
      <c r="F146" s="1"/>
      <c r="G146" s="1"/>
      <c r="H146" s="1"/>
      <c r="I146" s="1"/>
      <c r="J146" s="1"/>
      <c r="K146" s="1"/>
      <c r="L146" s="1"/>
      <c r="M146" s="1"/>
      <c r="N146" s="1"/>
      <c r="O146" s="1"/>
      <c r="P146" s="1"/>
    </row>
    <row r="147" spans="1:16" x14ac:dyDescent="0.45">
      <c r="A147" s="1"/>
      <c r="B147" s="1"/>
      <c r="C147" s="1"/>
      <c r="D147" s="1"/>
      <c r="E147" s="1"/>
      <c r="F147" s="1"/>
      <c r="G147" s="1"/>
      <c r="H147" s="1"/>
      <c r="I147" s="1"/>
      <c r="J147" s="1"/>
      <c r="K147" s="1"/>
      <c r="L147" s="1"/>
      <c r="M147" s="1"/>
      <c r="N147" s="1"/>
      <c r="O147" s="1"/>
      <c r="P147" s="1"/>
    </row>
    <row r="148" spans="1:16" x14ac:dyDescent="0.45">
      <c r="A148" s="1"/>
      <c r="B148" s="1"/>
      <c r="C148" s="1"/>
      <c r="D148" s="1"/>
      <c r="E148" s="1"/>
      <c r="F148" s="1"/>
      <c r="G148" s="1"/>
      <c r="H148" s="1"/>
      <c r="I148" s="1"/>
      <c r="J148" s="1"/>
      <c r="K148" s="1"/>
      <c r="L148" s="1"/>
      <c r="M148" s="1"/>
      <c r="N148" s="1"/>
      <c r="O148" s="1"/>
      <c r="P148" s="1"/>
    </row>
    <row r="149" spans="1:16" x14ac:dyDescent="0.45">
      <c r="A149" s="1"/>
      <c r="B149" s="1"/>
      <c r="C149" s="1"/>
      <c r="D149" s="1"/>
      <c r="E149" s="1"/>
      <c r="F149" s="1"/>
      <c r="G149" s="1"/>
      <c r="H149" s="1"/>
      <c r="I149" s="1"/>
      <c r="J149" s="1"/>
      <c r="K149" s="1"/>
      <c r="L149" s="1"/>
      <c r="M149" s="1"/>
      <c r="N149" s="1"/>
      <c r="O149" s="1"/>
      <c r="P149" s="1"/>
    </row>
    <row r="150" spans="1:16" x14ac:dyDescent="0.45">
      <c r="A150" s="1"/>
      <c r="B150" s="1"/>
      <c r="C150" s="1"/>
      <c r="D150" s="1"/>
      <c r="E150" s="1"/>
      <c r="F150" s="1"/>
      <c r="G150" s="1"/>
      <c r="H150" s="1"/>
      <c r="I150" s="1"/>
      <c r="J150" s="1"/>
      <c r="K150" s="1"/>
      <c r="L150" s="1"/>
      <c r="M150" s="1"/>
      <c r="N150" s="1"/>
      <c r="O150" s="1"/>
      <c r="P150" s="1"/>
    </row>
    <row r="151" spans="1:16" x14ac:dyDescent="0.45">
      <c r="A151" s="1"/>
      <c r="B151" s="1"/>
      <c r="C151" s="1"/>
      <c r="D151" s="1"/>
      <c r="E151" s="1"/>
      <c r="F151" s="1"/>
      <c r="G151" s="1"/>
      <c r="H151" s="1"/>
      <c r="I151" s="1"/>
      <c r="J151" s="1"/>
      <c r="K151" s="1"/>
      <c r="L151" s="1"/>
      <c r="M151" s="1"/>
      <c r="N151" s="1"/>
      <c r="O151" s="1"/>
      <c r="P151" s="1"/>
    </row>
    <row r="152" spans="1:16" x14ac:dyDescent="0.45">
      <c r="A152" s="1"/>
      <c r="B152" s="1"/>
      <c r="C152" s="1"/>
      <c r="D152" s="1"/>
      <c r="E152" s="1"/>
      <c r="F152" s="1"/>
      <c r="G152" s="1"/>
      <c r="H152" s="1"/>
      <c r="I152" s="1"/>
      <c r="J152" s="1"/>
      <c r="K152" s="1"/>
      <c r="L152" s="1"/>
      <c r="M152" s="1"/>
      <c r="N152" s="1"/>
      <c r="O152" s="1"/>
      <c r="P152" s="1"/>
    </row>
    <row r="153" spans="1:16" x14ac:dyDescent="0.45">
      <c r="A153" s="1"/>
      <c r="B153" s="1"/>
      <c r="C153" s="1"/>
      <c r="D153" s="1"/>
      <c r="E153" s="1"/>
      <c r="F153" s="1"/>
      <c r="G153" s="1"/>
      <c r="H153" s="1"/>
      <c r="I153" s="1"/>
      <c r="J153" s="1"/>
      <c r="K153" s="1"/>
      <c r="L153" s="1"/>
      <c r="M153" s="1"/>
      <c r="N153" s="1"/>
      <c r="O153" s="1"/>
      <c r="P153" s="1"/>
    </row>
    <row r="154" spans="1:16" x14ac:dyDescent="0.45">
      <c r="A154" s="1"/>
      <c r="B154" s="1"/>
      <c r="C154" s="1"/>
      <c r="D154" s="1"/>
      <c r="E154" s="1"/>
      <c r="F154" s="1"/>
      <c r="G154" s="1"/>
      <c r="H154" s="1"/>
      <c r="I154" s="1"/>
      <c r="J154" s="1"/>
      <c r="K154" s="1"/>
      <c r="L154" s="1"/>
      <c r="M154" s="1"/>
      <c r="N154" s="1"/>
      <c r="O154" s="1"/>
      <c r="P154" s="1"/>
    </row>
    <row r="155" spans="1:16" x14ac:dyDescent="0.45">
      <c r="A155" s="1"/>
      <c r="B155" s="1"/>
      <c r="C155" s="1"/>
      <c r="D155" s="1"/>
      <c r="E155" s="1"/>
      <c r="F155" s="1"/>
      <c r="G155" s="1"/>
      <c r="H155" s="1"/>
      <c r="I155" s="1"/>
      <c r="J155" s="1"/>
      <c r="K155" s="1"/>
      <c r="L155" s="1"/>
      <c r="M155" s="1"/>
      <c r="N155" s="1"/>
      <c r="O155" s="1"/>
      <c r="P155" s="1"/>
    </row>
    <row r="156" spans="1:16" x14ac:dyDescent="0.45">
      <c r="A156" s="1"/>
      <c r="B156" s="1"/>
      <c r="C156" s="1"/>
      <c r="D156" s="1"/>
      <c r="E156" s="1"/>
      <c r="F156" s="1"/>
      <c r="G156" s="1"/>
      <c r="H156" s="1"/>
      <c r="I156" s="1"/>
      <c r="J156" s="1"/>
      <c r="K156" s="1"/>
      <c r="L156" s="1"/>
      <c r="M156" s="1"/>
      <c r="N156" s="1"/>
      <c r="O156" s="1"/>
      <c r="P156" s="1"/>
    </row>
    <row r="157" spans="1:16" x14ac:dyDescent="0.45">
      <c r="A157" s="1"/>
      <c r="B157" s="1"/>
      <c r="C157" s="1"/>
      <c r="D157" s="1"/>
      <c r="E157" s="1"/>
      <c r="F157" s="1"/>
      <c r="G157" s="1"/>
      <c r="H157" s="1"/>
      <c r="I157" s="1"/>
      <c r="J157" s="1"/>
      <c r="K157" s="1"/>
      <c r="L157" s="1"/>
      <c r="M157" s="1"/>
      <c r="N157" s="1"/>
      <c r="O157" s="1"/>
      <c r="P157" s="1"/>
    </row>
    <row r="158" spans="1:16" x14ac:dyDescent="0.45">
      <c r="A158" s="1"/>
      <c r="B158" s="1"/>
      <c r="C158" s="1"/>
      <c r="D158" s="1"/>
      <c r="E158" s="1"/>
      <c r="F158" s="1"/>
      <c r="G158" s="1"/>
      <c r="H158" s="1"/>
      <c r="I158" s="1"/>
      <c r="J158" s="1"/>
      <c r="K158" s="1"/>
      <c r="L158" s="1"/>
      <c r="M158" s="1"/>
      <c r="N158" s="1"/>
      <c r="O158" s="1"/>
      <c r="P158" s="1"/>
    </row>
    <row r="159" spans="1:16" x14ac:dyDescent="0.45">
      <c r="A159" s="1"/>
      <c r="B159" s="1"/>
      <c r="C159" s="1"/>
      <c r="D159" s="1"/>
      <c r="E159" s="1"/>
      <c r="F159" s="1"/>
      <c r="G159" s="1"/>
      <c r="H159" s="1"/>
      <c r="I159" s="1"/>
      <c r="J159" s="1"/>
      <c r="K159" s="1"/>
      <c r="L159" s="1"/>
      <c r="M159" s="1"/>
      <c r="N159" s="1"/>
      <c r="O159" s="1"/>
      <c r="P159" s="1"/>
    </row>
    <row r="160" spans="1:16" x14ac:dyDescent="0.45">
      <c r="A160" s="1"/>
      <c r="B160" s="1"/>
      <c r="C160" s="1"/>
      <c r="D160" s="1"/>
      <c r="E160" s="1"/>
      <c r="F160" s="1"/>
      <c r="G160" s="1"/>
      <c r="H160" s="1"/>
      <c r="I160" s="1"/>
      <c r="J160" s="1"/>
      <c r="K160" s="1"/>
      <c r="L160" s="1"/>
      <c r="M160" s="1"/>
      <c r="N160" s="1"/>
      <c r="O160" s="1"/>
      <c r="P160" s="1"/>
    </row>
    <row r="161" spans="1:16" x14ac:dyDescent="0.45">
      <c r="A161" s="1"/>
      <c r="B161" s="1"/>
      <c r="C161" s="1"/>
      <c r="D161" s="1"/>
      <c r="E161" s="1"/>
      <c r="F161" s="1"/>
      <c r="G161" s="1"/>
      <c r="H161" s="1"/>
      <c r="I161" s="1"/>
      <c r="J161" s="1"/>
      <c r="K161" s="1"/>
      <c r="L161" s="1"/>
      <c r="M161" s="1"/>
      <c r="N161" s="1"/>
      <c r="O161" s="1"/>
      <c r="P161" s="1"/>
    </row>
    <row r="162" spans="1:16" x14ac:dyDescent="0.45">
      <c r="A162" s="1"/>
      <c r="B162" s="1"/>
      <c r="C162" s="1"/>
      <c r="D162" s="1"/>
      <c r="E162" s="1"/>
      <c r="F162" s="1"/>
      <c r="G162" s="1"/>
      <c r="H162" s="1"/>
      <c r="I162" s="1"/>
      <c r="J162" s="1"/>
      <c r="K162" s="1"/>
      <c r="L162" s="1"/>
      <c r="M162" s="1"/>
      <c r="N162" s="1"/>
      <c r="O162" s="1"/>
      <c r="P162" s="1"/>
    </row>
    <row r="163" spans="1:16" x14ac:dyDescent="0.45">
      <c r="A163" s="1"/>
      <c r="B163" s="1"/>
      <c r="C163" s="1"/>
      <c r="D163" s="1"/>
      <c r="E163" s="1"/>
      <c r="F163" s="1"/>
      <c r="G163" s="1"/>
      <c r="H163" s="1"/>
      <c r="I163" s="1"/>
      <c r="J163" s="1"/>
      <c r="K163" s="1"/>
      <c r="L163" s="1"/>
      <c r="M163" s="1"/>
      <c r="N163" s="1"/>
      <c r="O163" s="1"/>
      <c r="P163" s="1"/>
    </row>
    <row r="164" spans="1:16" x14ac:dyDescent="0.45">
      <c r="A164" s="1"/>
      <c r="B164" s="1"/>
      <c r="C164" s="1"/>
      <c r="D164" s="1"/>
      <c r="E164" s="1"/>
      <c r="F164" s="1"/>
      <c r="G164" s="1"/>
      <c r="H164" s="1"/>
      <c r="I164" s="1"/>
      <c r="J164" s="1"/>
      <c r="K164" s="1"/>
      <c r="L164" s="1"/>
      <c r="M164" s="1"/>
      <c r="N164" s="1"/>
      <c r="O164" s="1"/>
      <c r="P164" s="1"/>
    </row>
    <row r="165" spans="1:16" x14ac:dyDescent="0.45">
      <c r="A165" s="1"/>
      <c r="B165" s="1"/>
      <c r="C165" s="1"/>
      <c r="D165" s="1"/>
      <c r="E165" s="1"/>
      <c r="F165" s="1"/>
      <c r="G165" s="1"/>
      <c r="H165" s="1"/>
      <c r="I165" s="1"/>
      <c r="J165" s="1"/>
      <c r="K165" s="1"/>
      <c r="L165" s="1"/>
      <c r="M165" s="1"/>
      <c r="N165" s="1"/>
      <c r="O165" s="1"/>
      <c r="P165" s="1"/>
    </row>
    <row r="166" spans="1:16" x14ac:dyDescent="0.45">
      <c r="A166" s="1"/>
      <c r="B166" s="1"/>
      <c r="C166" s="1"/>
      <c r="D166" s="1"/>
      <c r="E166" s="1"/>
      <c r="F166" s="1"/>
      <c r="G166" s="1"/>
      <c r="H166" s="1"/>
      <c r="I166" s="1"/>
      <c r="J166" s="1"/>
      <c r="K166" s="1"/>
      <c r="L166" s="1"/>
      <c r="M166" s="1"/>
      <c r="N166" s="1"/>
      <c r="O166" s="1"/>
      <c r="P166" s="1"/>
    </row>
    <row r="167" spans="1:16" x14ac:dyDescent="0.45">
      <c r="A167" s="1"/>
      <c r="B167" s="1"/>
      <c r="C167" s="1"/>
      <c r="D167" s="1"/>
      <c r="E167" s="1"/>
      <c r="F167" s="1"/>
      <c r="G167" s="1"/>
      <c r="H167" s="1"/>
      <c r="I167" s="1"/>
      <c r="J167" s="1"/>
      <c r="K167" s="1"/>
      <c r="L167" s="1"/>
      <c r="M167" s="1"/>
      <c r="N167" s="1"/>
      <c r="O167" s="1"/>
      <c r="P167" s="1"/>
    </row>
    <row r="168" spans="1:16" x14ac:dyDescent="0.45">
      <c r="A168" s="1"/>
      <c r="B168" s="1"/>
      <c r="C168" s="1"/>
      <c r="D168" s="1"/>
      <c r="E168" s="1"/>
      <c r="F168" s="1"/>
      <c r="G168" s="1"/>
      <c r="H168" s="1"/>
      <c r="I168" s="1"/>
      <c r="J168" s="1"/>
      <c r="K168" s="1"/>
      <c r="L168" s="1"/>
      <c r="M168" s="1"/>
      <c r="N168" s="1"/>
      <c r="O168" s="1"/>
      <c r="P168" s="1"/>
    </row>
    <row r="169" spans="1:16" x14ac:dyDescent="0.45">
      <c r="A169" s="1"/>
      <c r="B169" s="1"/>
      <c r="C169" s="1"/>
      <c r="D169" s="1"/>
      <c r="E169" s="1"/>
      <c r="F169" s="1"/>
      <c r="G169" s="1"/>
      <c r="H169" s="1"/>
      <c r="I169" s="1"/>
      <c r="J169" s="1"/>
      <c r="K169" s="1"/>
      <c r="L169" s="1"/>
      <c r="M169" s="1"/>
      <c r="N169" s="1"/>
      <c r="O169" s="1"/>
      <c r="P169" s="1"/>
    </row>
    <row r="170" spans="1:16" x14ac:dyDescent="0.45">
      <c r="A170" s="1"/>
      <c r="B170" s="1"/>
      <c r="C170" s="1"/>
      <c r="D170" s="1"/>
      <c r="E170" s="1"/>
      <c r="F170" s="1"/>
      <c r="G170" s="1"/>
      <c r="H170" s="1"/>
      <c r="I170" s="1"/>
      <c r="J170" s="1"/>
      <c r="K170" s="1"/>
      <c r="L170" s="1"/>
      <c r="M170" s="1"/>
      <c r="N170" s="1"/>
      <c r="O170" s="1"/>
      <c r="P170" s="1"/>
    </row>
    <row r="171" spans="1:16" x14ac:dyDescent="0.45">
      <c r="A171" s="1"/>
      <c r="B171" s="1"/>
      <c r="C171" s="1"/>
      <c r="D171" s="1"/>
      <c r="E171" s="1"/>
      <c r="F171" s="1"/>
      <c r="G171" s="1"/>
      <c r="H171" s="1"/>
      <c r="I171" s="1"/>
      <c r="J171" s="1"/>
      <c r="K171" s="1"/>
      <c r="L171" s="1"/>
      <c r="M171" s="1"/>
      <c r="N171" s="1"/>
      <c r="O171" s="1"/>
      <c r="P171" s="1"/>
    </row>
    <row r="172" spans="1:16" x14ac:dyDescent="0.45">
      <c r="A172" s="1"/>
      <c r="B172" s="1"/>
      <c r="C172" s="1"/>
      <c r="D172" s="1"/>
      <c r="E172" s="1"/>
      <c r="F172" s="1"/>
      <c r="G172" s="1"/>
      <c r="H172" s="1"/>
      <c r="I172" s="1"/>
      <c r="J172" s="1"/>
      <c r="K172" s="1"/>
      <c r="L172" s="1"/>
      <c r="M172" s="1"/>
      <c r="N172" s="1"/>
      <c r="O172" s="1"/>
      <c r="P172" s="1"/>
    </row>
    <row r="173" spans="1:16" x14ac:dyDescent="0.45">
      <c r="A173" s="1"/>
      <c r="B173" s="1"/>
      <c r="C173" s="1"/>
      <c r="D173" s="1"/>
      <c r="E173" s="1"/>
      <c r="F173" s="1"/>
      <c r="G173" s="1"/>
      <c r="H173" s="1"/>
      <c r="I173" s="1"/>
      <c r="J173" s="1"/>
      <c r="K173" s="1"/>
      <c r="L173" s="1"/>
      <c r="M173" s="1"/>
      <c r="N173" s="1"/>
      <c r="O173" s="1"/>
      <c r="P173" s="1"/>
    </row>
    <row r="174" spans="1:16" x14ac:dyDescent="0.45">
      <c r="A174" s="1"/>
      <c r="B174" s="1"/>
      <c r="C174" s="1"/>
      <c r="D174" s="1"/>
      <c r="E174" s="1"/>
      <c r="F174" s="1"/>
      <c r="G174" s="1"/>
      <c r="H174" s="1"/>
      <c r="I174" s="1"/>
      <c r="J174" s="1"/>
      <c r="K174" s="1"/>
      <c r="L174" s="1"/>
      <c r="M174" s="1"/>
      <c r="N174" s="1"/>
      <c r="O174" s="1"/>
      <c r="P174" s="1"/>
    </row>
    <row r="175" spans="1:16" x14ac:dyDescent="0.45">
      <c r="A175" s="1"/>
      <c r="B175" s="1"/>
      <c r="C175" s="1"/>
      <c r="D175" s="1"/>
      <c r="E175" s="1"/>
      <c r="F175" s="1"/>
      <c r="G175" s="1"/>
      <c r="H175" s="1"/>
      <c r="I175" s="1"/>
      <c r="J175" s="1"/>
      <c r="K175" s="1"/>
      <c r="L175" s="1"/>
      <c r="M175" s="1"/>
      <c r="N175" s="1"/>
      <c r="O175" s="1"/>
      <c r="P175" s="1"/>
    </row>
    <row r="176" spans="1:16" x14ac:dyDescent="0.45">
      <c r="A176" s="1"/>
      <c r="B176" s="1"/>
      <c r="C176" s="1"/>
      <c r="D176" s="1"/>
      <c r="E176" s="1"/>
      <c r="F176" s="1"/>
      <c r="G176" s="1"/>
      <c r="H176" s="1"/>
      <c r="I176" s="1"/>
      <c r="J176" s="1"/>
      <c r="K176" s="1"/>
      <c r="L176" s="1"/>
      <c r="M176" s="1"/>
      <c r="N176" s="1"/>
      <c r="O176" s="1"/>
      <c r="P176" s="1"/>
    </row>
    <row r="177" spans="1:16" x14ac:dyDescent="0.45">
      <c r="A177" s="1"/>
      <c r="B177" s="1"/>
      <c r="C177" s="1"/>
      <c r="D177" s="1"/>
      <c r="E177" s="1"/>
      <c r="F177" s="1"/>
      <c r="G177" s="1"/>
      <c r="H177" s="1"/>
      <c r="I177" s="1"/>
      <c r="J177" s="1"/>
      <c r="K177" s="1"/>
      <c r="L177" s="1"/>
      <c r="M177" s="1"/>
      <c r="N177" s="1"/>
      <c r="O177" s="1"/>
      <c r="P177" s="1"/>
    </row>
    <row r="178" spans="1:16" x14ac:dyDescent="0.45">
      <c r="A178" s="1"/>
      <c r="B178" s="1"/>
      <c r="C178" s="1"/>
      <c r="D178" s="1"/>
      <c r="E178" s="1"/>
      <c r="F178" s="1"/>
      <c r="G178" s="1"/>
      <c r="H178" s="1"/>
      <c r="I178" s="1"/>
      <c r="J178" s="1"/>
      <c r="K178" s="1"/>
      <c r="L178" s="1"/>
      <c r="M178" s="1"/>
      <c r="N178" s="1"/>
      <c r="O178" s="1"/>
      <c r="P178" s="1"/>
    </row>
    <row r="179" spans="1:16" x14ac:dyDescent="0.45">
      <c r="A179" s="1"/>
      <c r="B179" s="1"/>
      <c r="C179" s="1"/>
      <c r="D179" s="1"/>
      <c r="E179" s="1"/>
      <c r="F179" s="1"/>
      <c r="G179" s="1"/>
      <c r="H179" s="1"/>
      <c r="I179" s="1"/>
      <c r="J179" s="1"/>
      <c r="K179" s="1"/>
      <c r="L179" s="1"/>
      <c r="M179" s="1"/>
      <c r="N179" s="1"/>
      <c r="O179" s="1"/>
      <c r="P179" s="1"/>
    </row>
    <row r="180" spans="1:16" x14ac:dyDescent="0.45">
      <c r="A180" s="1"/>
      <c r="B180" s="1"/>
      <c r="C180" s="1"/>
      <c r="D180" s="1"/>
      <c r="E180" s="1"/>
      <c r="F180" s="1"/>
      <c r="G180" s="1"/>
      <c r="H180" s="1"/>
      <c r="I180" s="1"/>
      <c r="J180" s="1"/>
      <c r="K180" s="1"/>
      <c r="L180" s="1"/>
      <c r="M180" s="1"/>
      <c r="N180" s="1"/>
      <c r="O180" s="1"/>
      <c r="P180" s="1"/>
    </row>
    <row r="181" spans="1:16" x14ac:dyDescent="0.45">
      <c r="A181" s="1"/>
      <c r="B181" s="1"/>
      <c r="C181" s="1"/>
      <c r="D181" s="1"/>
      <c r="E181" s="1"/>
      <c r="F181" s="1"/>
      <c r="G181" s="1"/>
      <c r="H181" s="1"/>
      <c r="I181" s="1"/>
      <c r="J181" s="1"/>
      <c r="K181" s="1"/>
      <c r="L181" s="1"/>
      <c r="M181" s="1"/>
      <c r="N181" s="1"/>
      <c r="O181" s="1"/>
      <c r="P181" s="1"/>
    </row>
    <row r="182" spans="1:16" x14ac:dyDescent="0.45">
      <c r="A182" s="1"/>
      <c r="B182" s="1"/>
      <c r="C182" s="1"/>
      <c r="D182" s="1"/>
      <c r="E182" s="1"/>
      <c r="F182" s="1"/>
      <c r="G182" s="1"/>
      <c r="H182" s="1"/>
      <c r="I182" s="1"/>
      <c r="J182" s="1"/>
      <c r="K182" s="1"/>
      <c r="L182" s="1"/>
      <c r="M182" s="1"/>
      <c r="N182" s="1"/>
      <c r="O182" s="1"/>
      <c r="P182" s="1"/>
    </row>
    <row r="183" spans="1:16" x14ac:dyDescent="0.45">
      <c r="A183" s="1"/>
      <c r="B183" s="1"/>
      <c r="C183" s="1"/>
      <c r="D183" s="1"/>
      <c r="E183" s="1"/>
      <c r="F183" s="1"/>
      <c r="G183" s="1"/>
      <c r="H183" s="1"/>
      <c r="I183" s="1"/>
      <c r="J183" s="1"/>
      <c r="K183" s="1"/>
      <c r="L183" s="1"/>
      <c r="M183" s="1"/>
      <c r="N183" s="1"/>
      <c r="O183" s="1"/>
      <c r="P183" s="1"/>
    </row>
    <row r="184" spans="1:16" x14ac:dyDescent="0.45">
      <c r="A184" s="1"/>
      <c r="B184" s="1"/>
      <c r="C184" s="1"/>
      <c r="D184" s="1"/>
      <c r="E184" s="1"/>
      <c r="F184" s="1"/>
      <c r="G184" s="1"/>
      <c r="H184" s="1"/>
      <c r="I184" s="1"/>
      <c r="J184" s="1"/>
      <c r="K184" s="1"/>
      <c r="L184" s="1"/>
      <c r="M184" s="1"/>
      <c r="N184" s="1"/>
      <c r="O184" s="1"/>
      <c r="P184" s="1"/>
    </row>
    <row r="185" spans="1:16" x14ac:dyDescent="0.45">
      <c r="A185" s="1"/>
      <c r="B185" s="1"/>
      <c r="C185" s="1"/>
      <c r="D185" s="1"/>
      <c r="E185" s="1"/>
      <c r="F185" s="1"/>
      <c r="G185" s="1"/>
      <c r="H185" s="1"/>
      <c r="I185" s="1"/>
      <c r="J185" s="1"/>
      <c r="K185" s="1"/>
      <c r="L185" s="1"/>
      <c r="M185" s="1"/>
      <c r="N185" s="1"/>
      <c r="O185" s="1"/>
      <c r="P185" s="1"/>
    </row>
    <row r="186" spans="1:16" x14ac:dyDescent="0.45">
      <c r="A186" s="1"/>
      <c r="B186" s="1"/>
      <c r="C186" s="1"/>
      <c r="D186" s="1"/>
      <c r="E186" s="1"/>
      <c r="F186" s="1"/>
      <c r="G186" s="1"/>
      <c r="H186" s="1"/>
      <c r="I186" s="1"/>
      <c r="J186" s="1"/>
      <c r="K186" s="1"/>
      <c r="L186" s="1"/>
      <c r="M186" s="1"/>
      <c r="N186" s="1"/>
      <c r="O186" s="1"/>
      <c r="P186" s="1"/>
    </row>
    <row r="187" spans="1:16" x14ac:dyDescent="0.45">
      <c r="A187" s="1"/>
      <c r="B187" s="1"/>
      <c r="C187" s="1"/>
      <c r="D187" s="1"/>
      <c r="E187" s="1"/>
      <c r="F187" s="1"/>
      <c r="G187" s="1"/>
      <c r="H187" s="1"/>
      <c r="I187" s="1"/>
      <c r="J187" s="1"/>
      <c r="K187" s="1"/>
      <c r="L187" s="1"/>
      <c r="M187" s="1"/>
      <c r="N187" s="1"/>
      <c r="O187" s="1"/>
      <c r="P187" s="1"/>
    </row>
    <row r="188" spans="1:16" x14ac:dyDescent="0.45">
      <c r="A188" s="1"/>
      <c r="B188" s="1"/>
      <c r="C188" s="1"/>
      <c r="D188" s="1"/>
      <c r="E188" s="1"/>
      <c r="F188" s="1"/>
      <c r="G188" s="1"/>
      <c r="H188" s="1"/>
      <c r="I188" s="1"/>
      <c r="J188" s="1"/>
      <c r="K188" s="1"/>
      <c r="L188" s="1"/>
      <c r="M188" s="1"/>
      <c r="N188" s="1"/>
      <c r="O188" s="1"/>
      <c r="P188" s="1"/>
    </row>
    <row r="189" spans="1:16" x14ac:dyDescent="0.45">
      <c r="A189" s="1"/>
      <c r="B189" s="1"/>
      <c r="C189" s="1"/>
      <c r="D189" s="1"/>
      <c r="E189" s="1"/>
      <c r="F189" s="1"/>
      <c r="G189" s="1"/>
      <c r="H189" s="1"/>
      <c r="I189" s="1"/>
      <c r="J189" s="1"/>
      <c r="K189" s="1"/>
      <c r="L189" s="1"/>
      <c r="M189" s="1"/>
      <c r="N189" s="1"/>
      <c r="O189" s="1"/>
      <c r="P189" s="1"/>
    </row>
    <row r="190" spans="1:16" x14ac:dyDescent="0.45">
      <c r="A190" s="1"/>
      <c r="B190" s="1"/>
      <c r="C190" s="1"/>
      <c r="D190" s="1"/>
      <c r="E190" s="1"/>
      <c r="F190" s="1"/>
      <c r="G190" s="1"/>
      <c r="H190" s="1"/>
      <c r="I190" s="1"/>
      <c r="J190" s="1"/>
      <c r="K190" s="1"/>
      <c r="L190" s="1"/>
      <c r="M190" s="1"/>
      <c r="N190" s="1"/>
      <c r="O190" s="1"/>
      <c r="P190" s="1"/>
    </row>
    <row r="191" spans="1:16" x14ac:dyDescent="0.45">
      <c r="A191" s="1"/>
      <c r="B191" s="1"/>
      <c r="C191" s="1"/>
      <c r="D191" s="1"/>
      <c r="E191" s="1"/>
      <c r="F191" s="1"/>
      <c r="G191" s="1"/>
      <c r="H191" s="1"/>
      <c r="I191" s="1"/>
      <c r="J191" s="1"/>
      <c r="K191" s="1"/>
      <c r="L191" s="1"/>
      <c r="M191" s="1"/>
      <c r="N191" s="1"/>
      <c r="O191" s="1"/>
      <c r="P191" s="1"/>
    </row>
    <row r="192" spans="1:16" x14ac:dyDescent="0.45">
      <c r="A192" s="1"/>
      <c r="B192" s="1"/>
      <c r="C192" s="1"/>
      <c r="D192" s="1"/>
      <c r="E192" s="1"/>
      <c r="F192" s="1"/>
      <c r="G192" s="1"/>
      <c r="H192" s="1"/>
      <c r="I192" s="1"/>
      <c r="J192" s="1"/>
      <c r="K192" s="1"/>
      <c r="L192" s="1"/>
      <c r="M192" s="1"/>
      <c r="N192" s="1"/>
      <c r="O192" s="1"/>
      <c r="P192" s="1"/>
    </row>
    <row r="193" spans="1:16" x14ac:dyDescent="0.45">
      <c r="A193" s="1"/>
      <c r="B193" s="1"/>
      <c r="C193" s="1"/>
      <c r="D193" s="1"/>
      <c r="E193" s="1"/>
      <c r="F193" s="1"/>
      <c r="G193" s="1"/>
      <c r="H193" s="1"/>
      <c r="I193" s="1"/>
      <c r="J193" s="1"/>
      <c r="K193" s="1"/>
      <c r="L193" s="1"/>
      <c r="M193" s="1"/>
      <c r="N193" s="1"/>
      <c r="O193" s="1"/>
      <c r="P193" s="1"/>
    </row>
    <row r="194" spans="1:16" x14ac:dyDescent="0.45">
      <c r="A194" s="1"/>
      <c r="B194" s="1"/>
      <c r="C194" s="1"/>
      <c r="D194" s="1"/>
      <c r="E194" s="1"/>
      <c r="F194" s="1"/>
      <c r="G194" s="1"/>
      <c r="H194" s="1"/>
      <c r="I194" s="1"/>
      <c r="J194" s="1"/>
      <c r="K194" s="1"/>
      <c r="L194" s="1"/>
      <c r="M194" s="1"/>
      <c r="N194" s="1"/>
      <c r="O194" s="1"/>
      <c r="P194" s="1"/>
    </row>
    <row r="195" spans="1:16" x14ac:dyDescent="0.45">
      <c r="A195" s="1"/>
      <c r="B195" s="1"/>
      <c r="C195" s="1"/>
      <c r="D195" s="1"/>
      <c r="E195" s="1"/>
      <c r="F195" s="1"/>
      <c r="G195" s="1"/>
      <c r="H195" s="1"/>
      <c r="I195" s="1"/>
      <c r="J195" s="1"/>
      <c r="K195" s="1"/>
      <c r="L195" s="1"/>
      <c r="M195" s="1"/>
      <c r="N195" s="1"/>
      <c r="O195" s="1"/>
      <c r="P195" s="1"/>
    </row>
    <row r="196" spans="1:16" x14ac:dyDescent="0.45">
      <c r="A196" s="1"/>
      <c r="B196" s="1"/>
      <c r="C196" s="1"/>
      <c r="D196" s="1"/>
      <c r="E196" s="1"/>
      <c r="F196" s="1"/>
      <c r="G196" s="1"/>
      <c r="H196" s="1"/>
      <c r="I196" s="1"/>
      <c r="J196" s="1"/>
      <c r="K196" s="1"/>
      <c r="L196" s="1"/>
      <c r="M196" s="1"/>
      <c r="N196" s="1"/>
      <c r="O196" s="1"/>
      <c r="P196" s="1"/>
    </row>
    <row r="197" spans="1:16" x14ac:dyDescent="0.45">
      <c r="A197" s="1"/>
      <c r="B197" s="1"/>
      <c r="C197" s="1"/>
      <c r="D197" s="1"/>
      <c r="E197" s="1"/>
      <c r="F197" s="1"/>
      <c r="G197" s="1"/>
      <c r="H197" s="1"/>
      <c r="I197" s="1"/>
      <c r="J197" s="1"/>
      <c r="K197" s="1"/>
      <c r="L197" s="1"/>
      <c r="M197" s="1"/>
      <c r="N197" s="1"/>
      <c r="O197" s="1"/>
      <c r="P197" s="1"/>
    </row>
    <row r="198" spans="1:16" x14ac:dyDescent="0.45">
      <c r="A198" s="1"/>
      <c r="B198" s="1"/>
      <c r="C198" s="1"/>
      <c r="D198" s="1"/>
      <c r="E198" s="1"/>
      <c r="F198" s="1"/>
      <c r="G198" s="1"/>
      <c r="H198" s="1"/>
      <c r="I198" s="1"/>
      <c r="J198" s="1"/>
      <c r="K198" s="1"/>
      <c r="L198" s="1"/>
      <c r="M198" s="1"/>
      <c r="N198" s="1"/>
      <c r="O198" s="1"/>
      <c r="P198" s="1"/>
    </row>
    <row r="199" spans="1:16" x14ac:dyDescent="0.45">
      <c r="A199" s="1"/>
      <c r="B199" s="1"/>
      <c r="C199" s="1"/>
      <c r="D199" s="1"/>
      <c r="E199" s="1"/>
      <c r="F199" s="1"/>
      <c r="G199" s="1"/>
      <c r="H199" s="1"/>
      <c r="I199" s="1"/>
      <c r="J199" s="1"/>
      <c r="K199" s="1"/>
      <c r="L199" s="1"/>
      <c r="M199" s="1"/>
      <c r="N199" s="1"/>
      <c r="O199" s="1"/>
      <c r="P199" s="1"/>
    </row>
    <row r="200" spans="1:16" x14ac:dyDescent="0.45">
      <c r="A200" s="1"/>
      <c r="B200" s="1"/>
      <c r="C200" s="1"/>
      <c r="D200" s="1"/>
      <c r="E200" s="1"/>
      <c r="F200" s="1"/>
      <c r="G200" s="1"/>
      <c r="H200" s="1"/>
      <c r="I200" s="1"/>
      <c r="J200" s="1"/>
      <c r="K200" s="1"/>
      <c r="L200" s="1"/>
      <c r="M200" s="1"/>
      <c r="N200" s="1"/>
      <c r="O200" s="1"/>
      <c r="P200" s="1"/>
    </row>
    <row r="201" spans="1:16" x14ac:dyDescent="0.45">
      <c r="A201" s="1"/>
      <c r="B201" s="1"/>
      <c r="C201" s="1"/>
      <c r="D201" s="1"/>
      <c r="E201" s="1"/>
      <c r="F201" s="1"/>
      <c r="G201" s="1"/>
      <c r="H201" s="1"/>
      <c r="I201" s="1"/>
      <c r="J201" s="1"/>
      <c r="K201" s="1"/>
      <c r="L201" s="1"/>
      <c r="M201" s="1"/>
      <c r="N201" s="1"/>
      <c r="O201" s="1"/>
      <c r="P201" s="1"/>
    </row>
    <row r="202" spans="1:16" x14ac:dyDescent="0.45">
      <c r="A202" s="1"/>
      <c r="B202" s="1"/>
      <c r="C202" s="1"/>
      <c r="D202" s="1"/>
      <c r="E202" s="1"/>
      <c r="F202" s="1"/>
      <c r="G202" s="1"/>
      <c r="H202" s="1"/>
      <c r="I202" s="1"/>
      <c r="J202" s="1"/>
      <c r="K202" s="1"/>
      <c r="L202" s="1"/>
      <c r="M202" s="1"/>
      <c r="N202" s="1"/>
      <c r="O202" s="1"/>
      <c r="P202" s="1"/>
    </row>
    <row r="203" spans="1:16" x14ac:dyDescent="0.45">
      <c r="A203" s="1"/>
      <c r="B203" s="1"/>
      <c r="C203" s="1"/>
      <c r="D203" s="1"/>
      <c r="E203" s="1"/>
      <c r="F203" s="1"/>
      <c r="G203" s="1"/>
      <c r="H203" s="1"/>
      <c r="I203" s="1"/>
      <c r="J203" s="1"/>
      <c r="K203" s="1"/>
      <c r="L203" s="1"/>
      <c r="M203" s="1"/>
      <c r="N203" s="1"/>
      <c r="O203" s="1"/>
      <c r="P203" s="1"/>
    </row>
    <row r="204" spans="1:16" x14ac:dyDescent="0.45">
      <c r="A204" s="1"/>
      <c r="B204" s="1"/>
      <c r="C204" s="1"/>
      <c r="D204" s="1"/>
      <c r="E204" s="1"/>
      <c r="F204" s="1"/>
      <c r="G204" s="1"/>
      <c r="H204" s="1"/>
      <c r="I204" s="1"/>
      <c r="J204" s="1"/>
      <c r="K204" s="1"/>
      <c r="L204" s="1"/>
      <c r="M204" s="1"/>
      <c r="N204" s="1"/>
      <c r="O204" s="1"/>
      <c r="P204" s="1"/>
    </row>
    <row r="205" spans="1:16" x14ac:dyDescent="0.45">
      <c r="A205" s="1"/>
      <c r="B205" s="1"/>
      <c r="C205" s="1"/>
      <c r="D205" s="1"/>
      <c r="E205" s="1"/>
      <c r="F205" s="1"/>
      <c r="G205" s="1"/>
      <c r="H205" s="1"/>
      <c r="I205" s="1"/>
      <c r="J205" s="1"/>
      <c r="K205" s="1"/>
      <c r="L205" s="1"/>
      <c r="M205" s="1"/>
      <c r="N205" s="1"/>
      <c r="O205" s="1"/>
      <c r="P205" s="1"/>
    </row>
    <row r="206" spans="1:16" x14ac:dyDescent="0.45">
      <c r="A206" s="1"/>
      <c r="B206" s="1"/>
      <c r="C206" s="1"/>
      <c r="D206" s="1"/>
      <c r="E206" s="1"/>
      <c r="F206" s="1"/>
      <c r="G206" s="1"/>
      <c r="H206" s="1"/>
      <c r="I206" s="1"/>
      <c r="J206" s="1"/>
      <c r="K206" s="1"/>
      <c r="L206" s="1"/>
      <c r="M206" s="1"/>
      <c r="N206" s="1"/>
      <c r="O206" s="1"/>
      <c r="P206" s="1"/>
    </row>
    <row r="207" spans="1:16" x14ac:dyDescent="0.45">
      <c r="A207" s="1"/>
      <c r="B207" s="1"/>
      <c r="C207" s="1"/>
      <c r="D207" s="1"/>
      <c r="E207" s="1"/>
      <c r="F207" s="1"/>
      <c r="G207" s="1"/>
      <c r="H207" s="1"/>
      <c r="I207" s="1"/>
      <c r="J207" s="1"/>
      <c r="K207" s="1"/>
      <c r="L207" s="1"/>
      <c r="M207" s="1"/>
      <c r="N207" s="1"/>
      <c r="O207" s="1"/>
      <c r="P207" s="1"/>
    </row>
    <row r="208" spans="1:16" x14ac:dyDescent="0.45">
      <c r="A208" s="1"/>
      <c r="B208" s="1"/>
      <c r="C208" s="1"/>
      <c r="D208" s="1"/>
      <c r="E208" s="1"/>
      <c r="F208" s="1"/>
      <c r="G208" s="1"/>
      <c r="H208" s="1"/>
      <c r="I208" s="1"/>
      <c r="J208" s="1"/>
      <c r="K208" s="1"/>
      <c r="L208" s="1"/>
      <c r="M208" s="1"/>
      <c r="N208" s="1"/>
      <c r="O208" s="1"/>
      <c r="P208" s="1"/>
    </row>
    <row r="209" spans="1:16" x14ac:dyDescent="0.45">
      <c r="A209" s="1"/>
      <c r="B209" s="1"/>
      <c r="C209" s="1"/>
      <c r="D209" s="1"/>
      <c r="E209" s="1"/>
      <c r="F209" s="1"/>
      <c r="G209" s="1"/>
      <c r="H209" s="1"/>
      <c r="I209" s="1"/>
      <c r="J209" s="1"/>
      <c r="K209" s="1"/>
      <c r="L209" s="1"/>
      <c r="M209" s="1"/>
      <c r="N209" s="1"/>
      <c r="O209" s="1"/>
      <c r="P209" s="1"/>
    </row>
    <row r="210" spans="1:16" x14ac:dyDescent="0.45">
      <c r="A210" s="1"/>
      <c r="B210" s="1"/>
      <c r="C210" s="1"/>
      <c r="D210" s="1"/>
      <c r="E210" s="1"/>
      <c r="F210" s="1"/>
      <c r="G210" s="1"/>
      <c r="H210" s="1"/>
      <c r="I210" s="1"/>
      <c r="J210" s="1"/>
      <c r="K210" s="1"/>
      <c r="L210" s="1"/>
      <c r="M210" s="1"/>
      <c r="N210" s="1"/>
      <c r="O210" s="1"/>
      <c r="P210" s="1"/>
    </row>
    <row r="211" spans="1:16" x14ac:dyDescent="0.45">
      <c r="A211" s="1"/>
      <c r="B211" s="1"/>
      <c r="C211" s="1"/>
      <c r="D211" s="1"/>
      <c r="E211" s="1"/>
      <c r="F211" s="1"/>
      <c r="G211" s="1"/>
      <c r="H211" s="1"/>
      <c r="I211" s="1"/>
      <c r="J211" s="1"/>
      <c r="K211" s="1"/>
      <c r="L211" s="1"/>
      <c r="M211" s="1"/>
      <c r="N211" s="1"/>
      <c r="O211" s="1"/>
      <c r="P211" s="1"/>
    </row>
    <row r="212" spans="1:16" x14ac:dyDescent="0.45">
      <c r="A212" s="1"/>
      <c r="B212" s="1"/>
      <c r="C212" s="1"/>
      <c r="D212" s="1"/>
      <c r="E212" s="1"/>
      <c r="F212" s="1"/>
      <c r="G212" s="1"/>
      <c r="H212" s="1"/>
      <c r="I212" s="1"/>
      <c r="J212" s="1"/>
      <c r="K212" s="1"/>
      <c r="L212" s="1"/>
      <c r="M212" s="1"/>
      <c r="N212" s="1"/>
      <c r="O212" s="1"/>
      <c r="P212" s="1"/>
    </row>
    <row r="213" spans="1:16" x14ac:dyDescent="0.45">
      <c r="A213" s="1"/>
      <c r="B213" s="1"/>
      <c r="C213" s="1"/>
      <c r="D213" s="1"/>
      <c r="E213" s="1"/>
      <c r="F213" s="1"/>
      <c r="G213" s="1"/>
      <c r="H213" s="1"/>
      <c r="I213" s="1"/>
      <c r="J213" s="1"/>
      <c r="K213" s="1"/>
      <c r="L213" s="1"/>
      <c r="M213" s="1"/>
      <c r="N213" s="1"/>
      <c r="O213" s="1"/>
      <c r="P213" s="1"/>
    </row>
    <row r="214" spans="1:16" x14ac:dyDescent="0.45">
      <c r="A214" s="1"/>
      <c r="B214" s="1"/>
      <c r="C214" s="1"/>
      <c r="D214" s="1"/>
      <c r="E214" s="1"/>
      <c r="F214" s="1"/>
      <c r="G214" s="1"/>
      <c r="H214" s="1"/>
      <c r="I214" s="1"/>
      <c r="J214" s="1"/>
      <c r="K214" s="1"/>
      <c r="L214" s="1"/>
      <c r="M214" s="1"/>
      <c r="N214" s="1"/>
      <c r="O214" s="1"/>
      <c r="P214" s="1"/>
    </row>
    <row r="215" spans="1:16" x14ac:dyDescent="0.45">
      <c r="A215" s="1"/>
      <c r="B215" s="1"/>
      <c r="C215" s="1"/>
      <c r="D215" s="1"/>
      <c r="E215" s="1"/>
      <c r="F215" s="1"/>
      <c r="G215" s="1"/>
      <c r="H215" s="1"/>
      <c r="I215" s="1"/>
      <c r="J215" s="1"/>
      <c r="K215" s="1"/>
      <c r="L215" s="1"/>
      <c r="M215" s="1"/>
      <c r="N215" s="1"/>
      <c r="O215" s="1"/>
      <c r="P215" s="1"/>
    </row>
    <row r="216" spans="1:16" x14ac:dyDescent="0.45">
      <c r="A216" s="1"/>
      <c r="B216" s="1"/>
      <c r="C216" s="1"/>
      <c r="D216" s="1"/>
      <c r="E216" s="1"/>
      <c r="F216" s="1"/>
      <c r="G216" s="1"/>
      <c r="H216" s="1"/>
      <c r="I216" s="1"/>
      <c r="J216" s="1"/>
      <c r="K216" s="1"/>
      <c r="L216" s="1"/>
      <c r="M216" s="1"/>
      <c r="N216" s="1"/>
      <c r="O216" s="1"/>
      <c r="P216" s="1"/>
    </row>
    <row r="217" spans="1:16" x14ac:dyDescent="0.45">
      <c r="A217" s="1"/>
      <c r="B217" s="1"/>
      <c r="C217" s="1"/>
      <c r="D217" s="1"/>
      <c r="E217" s="1"/>
      <c r="F217" s="1"/>
      <c r="G217" s="1"/>
      <c r="H217" s="1"/>
      <c r="I217" s="1"/>
      <c r="J217" s="1"/>
      <c r="K217" s="1"/>
      <c r="L217" s="1"/>
      <c r="M217" s="1"/>
      <c r="N217" s="1"/>
      <c r="O217" s="1"/>
      <c r="P217" s="1"/>
    </row>
    <row r="218" spans="1:16" x14ac:dyDescent="0.45">
      <c r="A218" s="1"/>
      <c r="B218" s="1"/>
      <c r="C218" s="1"/>
      <c r="D218" s="1"/>
      <c r="E218" s="1"/>
      <c r="F218" s="1"/>
      <c r="G218" s="1"/>
      <c r="H218" s="1"/>
      <c r="I218" s="1"/>
      <c r="J218" s="1"/>
      <c r="K218" s="1"/>
      <c r="L218" s="1"/>
      <c r="M218" s="1"/>
      <c r="N218" s="1"/>
      <c r="O218" s="1"/>
      <c r="P218" s="1"/>
    </row>
    <row r="219" spans="1:16" x14ac:dyDescent="0.45">
      <c r="A219" s="1"/>
      <c r="B219" s="1"/>
      <c r="C219" s="1"/>
      <c r="D219" s="1"/>
      <c r="E219" s="1"/>
      <c r="F219" s="1"/>
      <c r="G219" s="1"/>
      <c r="H219" s="1"/>
      <c r="I219" s="1"/>
      <c r="J219" s="1"/>
      <c r="K219" s="1"/>
      <c r="L219" s="1"/>
      <c r="M219" s="1"/>
      <c r="N219" s="1"/>
      <c r="O219" s="1"/>
      <c r="P219" s="1"/>
    </row>
    <row r="220" spans="1:16" x14ac:dyDescent="0.45">
      <c r="A220" s="1"/>
      <c r="B220" s="1"/>
      <c r="C220" s="1"/>
      <c r="D220" s="1"/>
      <c r="E220" s="1"/>
      <c r="F220" s="1"/>
      <c r="G220" s="1"/>
      <c r="H220" s="1"/>
      <c r="I220" s="1"/>
      <c r="J220" s="1"/>
      <c r="K220" s="1"/>
      <c r="L220" s="1"/>
      <c r="M220" s="1"/>
      <c r="N220" s="1"/>
      <c r="O220" s="1"/>
      <c r="P220" s="1"/>
    </row>
    <row r="221" spans="1:16" x14ac:dyDescent="0.45">
      <c r="A221" s="1"/>
      <c r="B221" s="1"/>
      <c r="C221" s="1"/>
      <c r="D221" s="1"/>
      <c r="E221" s="1"/>
      <c r="F221" s="1"/>
      <c r="G221" s="1"/>
      <c r="H221" s="1"/>
      <c r="I221" s="1"/>
      <c r="J221" s="1"/>
      <c r="K221" s="1"/>
      <c r="L221" s="1"/>
      <c r="M221" s="1"/>
      <c r="N221" s="1"/>
      <c r="O221" s="1"/>
      <c r="P221" s="1"/>
    </row>
    <row r="222" spans="1:16" x14ac:dyDescent="0.45">
      <c r="A222" s="1"/>
      <c r="B222" s="1"/>
      <c r="C222" s="1"/>
      <c r="D222" s="1"/>
      <c r="E222" s="1"/>
      <c r="F222" s="1"/>
      <c r="G222" s="1"/>
      <c r="H222" s="1"/>
      <c r="I222" s="1"/>
      <c r="J222" s="1"/>
      <c r="K222" s="1"/>
      <c r="L222" s="1"/>
      <c r="M222" s="1"/>
      <c r="N222" s="1"/>
      <c r="O222" s="1"/>
      <c r="P222" s="1"/>
    </row>
    <row r="223" spans="1:16" x14ac:dyDescent="0.45">
      <c r="A223" s="1"/>
      <c r="B223" s="1"/>
      <c r="C223" s="1"/>
      <c r="D223" s="1"/>
      <c r="E223" s="1"/>
      <c r="F223" s="1"/>
      <c r="G223" s="1"/>
      <c r="H223" s="1"/>
      <c r="I223" s="1"/>
      <c r="J223" s="1"/>
      <c r="K223" s="1"/>
      <c r="L223" s="1"/>
      <c r="M223" s="1"/>
      <c r="N223" s="1"/>
      <c r="O223" s="1"/>
      <c r="P223" s="1"/>
    </row>
    <row r="224" spans="1:16" x14ac:dyDescent="0.45">
      <c r="A224" s="1"/>
      <c r="B224" s="1"/>
      <c r="C224" s="1"/>
      <c r="D224" s="1"/>
      <c r="E224" s="1"/>
      <c r="F224" s="1"/>
      <c r="G224" s="1"/>
      <c r="H224" s="1"/>
      <c r="I224" s="1"/>
      <c r="J224" s="1"/>
      <c r="K224" s="1"/>
      <c r="L224" s="1"/>
      <c r="M224" s="1"/>
      <c r="N224" s="1"/>
      <c r="O224" s="1"/>
      <c r="P224" s="1"/>
    </row>
    <row r="225" spans="1:16" x14ac:dyDescent="0.45">
      <c r="A225" s="1"/>
      <c r="B225" s="1"/>
      <c r="C225" s="1"/>
      <c r="D225" s="1"/>
      <c r="E225" s="1"/>
      <c r="F225" s="1"/>
      <c r="G225" s="1"/>
      <c r="H225" s="1"/>
      <c r="I225" s="1"/>
      <c r="J225" s="1"/>
      <c r="K225" s="1"/>
      <c r="L225" s="1"/>
      <c r="M225" s="1"/>
      <c r="N225" s="1"/>
      <c r="O225" s="1"/>
      <c r="P225" s="1"/>
    </row>
    <row r="226" spans="1:16" x14ac:dyDescent="0.45">
      <c r="A226" s="1"/>
      <c r="B226" s="1"/>
      <c r="C226" s="1"/>
      <c r="D226" s="1"/>
      <c r="E226" s="1"/>
      <c r="F226" s="1"/>
      <c r="G226" s="1"/>
      <c r="H226" s="1"/>
      <c r="I226" s="1"/>
      <c r="J226" s="1"/>
      <c r="K226" s="1"/>
      <c r="L226" s="1"/>
      <c r="M226" s="1"/>
      <c r="N226" s="1"/>
      <c r="O226" s="1"/>
      <c r="P226" s="1"/>
    </row>
    <row r="227" spans="1:16" x14ac:dyDescent="0.45">
      <c r="A227" s="1"/>
      <c r="B227" s="1"/>
      <c r="C227" s="1"/>
      <c r="D227" s="1"/>
      <c r="E227" s="1"/>
      <c r="F227" s="1"/>
      <c r="G227" s="1"/>
      <c r="H227" s="1"/>
      <c r="I227" s="1"/>
      <c r="J227" s="1"/>
      <c r="K227" s="1"/>
      <c r="L227" s="1"/>
      <c r="M227" s="1"/>
      <c r="N227" s="1"/>
      <c r="O227" s="1"/>
      <c r="P227" s="1"/>
    </row>
    <row r="228" spans="1:16" x14ac:dyDescent="0.45">
      <c r="A228" s="1"/>
      <c r="B228" s="1"/>
      <c r="C228" s="1"/>
      <c r="D228" s="1"/>
      <c r="E228" s="1"/>
      <c r="F228" s="1"/>
      <c r="G228" s="1"/>
      <c r="H228" s="1"/>
      <c r="I228" s="1"/>
      <c r="J228" s="1"/>
      <c r="K228" s="1"/>
      <c r="L228" s="1"/>
      <c r="M228" s="1"/>
      <c r="N228" s="1"/>
      <c r="O228" s="1"/>
      <c r="P228" s="1"/>
    </row>
    <row r="229" spans="1:16" x14ac:dyDescent="0.45">
      <c r="A229" s="1"/>
      <c r="B229" s="1"/>
      <c r="C229" s="1"/>
      <c r="D229" s="1"/>
      <c r="E229" s="1"/>
      <c r="F229" s="1"/>
      <c r="G229" s="1"/>
      <c r="H229" s="1"/>
      <c r="I229" s="1"/>
      <c r="J229" s="1"/>
      <c r="K229" s="1"/>
      <c r="L229" s="1"/>
      <c r="M229" s="1"/>
      <c r="N229" s="1"/>
      <c r="O229" s="1"/>
      <c r="P229" s="1"/>
    </row>
    <row r="230" spans="1:16" x14ac:dyDescent="0.45">
      <c r="A230" s="1"/>
      <c r="B230" s="1"/>
      <c r="C230" s="1"/>
      <c r="D230" s="1"/>
      <c r="E230" s="1"/>
      <c r="F230" s="1"/>
      <c r="G230" s="1"/>
      <c r="H230" s="1"/>
      <c r="I230" s="1"/>
      <c r="J230" s="1"/>
      <c r="K230" s="1"/>
      <c r="L230" s="1"/>
      <c r="M230" s="1"/>
      <c r="N230" s="1"/>
      <c r="O230" s="1"/>
      <c r="P230" s="1"/>
    </row>
    <row r="231" spans="1:16" x14ac:dyDescent="0.45">
      <c r="A231" s="1"/>
      <c r="B231" s="1"/>
      <c r="C231" s="1"/>
      <c r="D231" s="1"/>
      <c r="E231" s="1"/>
      <c r="F231" s="1"/>
      <c r="G231" s="1"/>
      <c r="H231" s="1"/>
      <c r="I231" s="1"/>
      <c r="J231" s="1"/>
      <c r="K231" s="1"/>
      <c r="L231" s="1"/>
      <c r="M231" s="1"/>
      <c r="N231" s="1"/>
      <c r="O231" s="1"/>
      <c r="P231" s="1"/>
    </row>
    <row r="232" spans="1:16" x14ac:dyDescent="0.45">
      <c r="A232" s="1"/>
      <c r="B232" s="1"/>
      <c r="C232" s="1"/>
      <c r="D232" s="1"/>
      <c r="E232" s="1"/>
      <c r="F232" s="1"/>
      <c r="G232" s="1"/>
      <c r="H232" s="1"/>
      <c r="I232" s="1"/>
      <c r="J232" s="1"/>
      <c r="K232" s="1"/>
      <c r="L232" s="1"/>
      <c r="M232" s="1"/>
      <c r="N232" s="1"/>
      <c r="O232" s="1"/>
      <c r="P232" s="1"/>
    </row>
    <row r="233" spans="1:16" x14ac:dyDescent="0.45">
      <c r="A233" s="1"/>
      <c r="B233" s="1"/>
      <c r="C233" s="1"/>
      <c r="D233" s="1"/>
      <c r="E233" s="1"/>
      <c r="F233" s="1"/>
      <c r="G233" s="1"/>
      <c r="H233" s="1"/>
      <c r="I233" s="1"/>
      <c r="J233" s="1"/>
      <c r="K233" s="1"/>
      <c r="L233" s="1"/>
      <c r="M233" s="1"/>
      <c r="N233" s="1"/>
      <c r="O233" s="1"/>
      <c r="P233" s="1"/>
    </row>
  </sheetData>
  <sheetProtection algorithmName="SHA-512" hashValue="z/NIKiLDEKh9U3qTx/KtxeH8vEd85Pu4tupxtSyl5ZuLrGsSzHtgkg7Y8eevm4v8utb94T9VMrFos9s9HHzM3Q==" saltValue="6CMQ6R+pgH58S/+oYKKJWQ==" spinCount="100000" sheet="1" objects="1" scenarios="1"/>
  <mergeCells count="33">
    <mergeCell ref="C100:D100"/>
    <mergeCell ref="C51:D51"/>
    <mergeCell ref="C52:D52"/>
    <mergeCell ref="C53:D53"/>
    <mergeCell ref="C54:D54"/>
    <mergeCell ref="C97:D97"/>
    <mergeCell ref="C98:D98"/>
    <mergeCell ref="C117:D117"/>
    <mergeCell ref="F126:G126"/>
    <mergeCell ref="F127:G127"/>
    <mergeCell ref="F128:G128"/>
    <mergeCell ref="C102:D102"/>
    <mergeCell ref="C104:D104"/>
    <mergeCell ref="C105:D105"/>
    <mergeCell ref="C113:D113"/>
    <mergeCell ref="C119:D119"/>
    <mergeCell ref="F125:G125"/>
    <mergeCell ref="C36:D36"/>
    <mergeCell ref="C22:E22"/>
    <mergeCell ref="C30:D30"/>
    <mergeCell ref="C31:D31"/>
    <mergeCell ref="C37:D37"/>
    <mergeCell ref="D24:E24"/>
    <mergeCell ref="D25:E25"/>
    <mergeCell ref="D26:E26"/>
    <mergeCell ref="D27:E27"/>
    <mergeCell ref="D28:E28"/>
    <mergeCell ref="C21:E21"/>
    <mergeCell ref="B2:J4"/>
    <mergeCell ref="C18:E18"/>
    <mergeCell ref="C19:E19"/>
    <mergeCell ref="C20:E20"/>
    <mergeCell ref="G16:J16"/>
  </mergeCells>
  <conditionalFormatting sqref="E108:E109 F110:H110 F97:H97 E98:H98 F99:H99 I97:T99 E100:T100 F101:T101 E102:T103 E114:T116 E118 I107:T110 G107:H109 E105:E106 F104:T106 F112:T113 F117:T119">
    <cfRule type="expression" priority="16">
      <formula>"if($D$81:$R$811&gt;100%, [Green],[Red]"</formula>
    </cfRule>
  </conditionalFormatting>
  <conditionalFormatting sqref="R97:T97 R117:T119 R107:T110">
    <cfRule type="expression" priority="15">
      <formula>"if($P$81&lt;99%, green, red)"</formula>
    </cfRule>
  </conditionalFormatting>
  <conditionalFormatting sqref="E65">
    <cfRule type="expression" dxfId="4" priority="14">
      <formula>$A$67=0</formula>
    </cfRule>
  </conditionalFormatting>
  <conditionalFormatting sqref="E66">
    <cfRule type="expression" dxfId="3" priority="13">
      <formula>$A$68=0</formula>
    </cfRule>
  </conditionalFormatting>
  <conditionalFormatting sqref="R104:T104">
    <cfRule type="expression" priority="12">
      <formula>"if($P$81&lt;99%, green, red)"</formula>
    </cfRule>
  </conditionalFormatting>
  <conditionalFormatting sqref="R113:T113">
    <cfRule type="expression" priority="11">
      <formula>"if($P$81&lt;99%, green, red)"</formula>
    </cfRule>
  </conditionalFormatting>
  <conditionalFormatting sqref="E101">
    <cfRule type="expression" priority="10">
      <formula>"if($D$81:$R$811&gt;100%, [Green],[Red]"</formula>
    </cfRule>
  </conditionalFormatting>
  <conditionalFormatting sqref="E107">
    <cfRule type="expression" priority="9">
      <formula>"if($D$81:$R$811&gt;100%, [Green],[Red]"</formula>
    </cfRule>
  </conditionalFormatting>
  <conditionalFormatting sqref="E64:E66">
    <cfRule type="expression" dxfId="2" priority="17">
      <formula>#REF!="Rent to Buy"</formula>
    </cfRule>
  </conditionalFormatting>
  <conditionalFormatting sqref="E64">
    <cfRule type="expression" dxfId="1" priority="18">
      <formula>$A$66=0</formula>
    </cfRule>
    <cfRule type="expression" priority="19">
      <formula>#REF!="Codes!$B$4"</formula>
    </cfRule>
  </conditionalFormatting>
  <conditionalFormatting sqref="E121:T121">
    <cfRule type="iconSet" priority="21">
      <iconSet reverse="1">
        <cfvo type="percent" val="0"/>
        <cfvo type="num" val="0.70499999999999996"/>
        <cfvo type="num" val="0.8"/>
      </iconSet>
    </cfRule>
  </conditionalFormatting>
  <conditionalFormatting sqref="E122:T122">
    <cfRule type="iconSet" priority="22">
      <iconSet reverse="1">
        <cfvo type="percent" val="0"/>
        <cfvo type="num" val="0.30499999999999999" gte="0"/>
        <cfvo type="num" val="0.35"/>
      </iconSet>
    </cfRule>
  </conditionalFormatting>
  <conditionalFormatting sqref="R96:T96">
    <cfRule type="expression" priority="7">
      <formula>"if($P$81&lt;99%, green, red)"</formula>
    </cfRule>
  </conditionalFormatting>
  <conditionalFormatting sqref="F107:F109">
    <cfRule type="expression" priority="6">
      <formula>"if($D$81:$R$811&gt;100%, [Green],[Red]"</formula>
    </cfRule>
  </conditionalFormatting>
  <conditionalFormatting sqref="E119">
    <cfRule type="expression" priority="5">
      <formula>"if($D$81:$R$811&gt;100%, [Green],[Red]"</formula>
    </cfRule>
  </conditionalFormatting>
  <conditionalFormatting sqref="E112">
    <cfRule type="expression" priority="4">
      <formula>"if($D$81:$R$811&gt;100%, [Green],[Red]"</formula>
    </cfRule>
  </conditionalFormatting>
  <pageMargins left="0.7" right="0.7" top="0.75" bottom="0.75" header="0.3" footer="0.3"/>
  <pageSetup paperSize="9" orientation="portrait" r:id="rId1"/>
  <headerFooter>
    <oddFooter>&amp;C_x000D_&amp;1#&amp;"Calibri"&amp;10&amp;K000000 [UNCLASSIFIED]</oddFooter>
  </headerFooter>
  <ignoredErrors>
    <ignoredError sqref="F101:T101" formula="1"/>
  </ignoredErrors>
  <drawing r:id="rId2"/>
  <extLst>
    <ext xmlns:x14="http://schemas.microsoft.com/office/spreadsheetml/2009/9/main" uri="{78C0D931-6437-407d-A8EE-F0AAD7539E65}">
      <x14:conditionalFormattings>
        <x14:conditionalFormatting xmlns:xm="http://schemas.microsoft.com/office/excel/2006/main">
          <x14:cfRule type="iconSet" priority="8" id="{9E562F1A-3DDE-4E39-9BFB-4CFAA794C981}">
            <x14:iconSet showValue="0" custom="1">
              <x14:cfvo type="percent">
                <xm:f>0</xm:f>
              </x14:cfvo>
              <x14:cfvo type="num">
                <xm:f>1</xm:f>
              </x14:cfvo>
              <x14:cfvo type="num">
                <xm:f>2</xm:f>
              </x14:cfvo>
              <x14:cfIcon iconSet="3TrafficLights1" iconId="2"/>
              <x14:cfIcon iconSet="3TrafficLights1" iconId="1"/>
              <x14:cfIcon iconSet="3TrafficLights1" iconId="0"/>
            </x14:iconSet>
          </x14:cfRule>
          <xm:sqref>D57:D72</xm:sqref>
        </x14:conditionalFormatting>
        <x14:conditionalFormatting xmlns:xm="http://schemas.microsoft.com/office/excel/2006/main">
          <x14:cfRule type="expression" priority="20" id="{2AE97B65-318D-493D-BAE8-AEF31F186420}">
            <xm:f>#REF!=Codes!$H$5</xm:f>
            <x14:dxf>
              <fill>
                <patternFill>
                  <bgColor theme="0"/>
                </patternFill>
              </fill>
            </x14:dxf>
          </x14:cfRule>
          <xm:sqref>E64</xm:sqref>
        </x14:conditionalFormatting>
        <x14:conditionalFormatting xmlns:xm="http://schemas.microsoft.com/office/excel/2006/main">
          <x14:cfRule type="iconSet" priority="3" id="{DCC61DCD-8C4F-4698-BECB-A3B1F36E0A5C}">
            <x14:iconSet showValue="0" custom="1">
              <x14:cfvo type="percent">
                <xm:f>0</xm:f>
              </x14:cfvo>
              <x14:cfvo type="num">
                <xm:f>0</xm:f>
              </x14:cfvo>
              <x14:cfvo type="num">
                <xm:f>1</xm:f>
              </x14:cfvo>
              <x14:cfIcon iconSet="3TrafficLights1" iconId="2"/>
              <x14:cfIcon iconSet="3TrafficLights1" iconId="2"/>
              <x14:cfIcon iconSet="3TrafficLights1" iconId="0"/>
            </x14:iconSet>
          </x14:cfRule>
          <xm:sqref>F30:F31</xm:sqref>
        </x14:conditionalFormatting>
        <x14:conditionalFormatting xmlns:xm="http://schemas.microsoft.com/office/excel/2006/main">
          <x14:cfRule type="iconSet" priority="2" id="{5A6F826F-371E-46A5-A743-70753010F2D3}">
            <x14:iconSet showValue="0" custom="1">
              <x14:cfvo type="percent">
                <xm:f>0</xm:f>
              </x14:cfvo>
              <x14:cfvo type="num">
                <xm:f>0</xm:f>
              </x14:cfvo>
              <x14:cfvo type="num">
                <xm:f>1</xm:f>
              </x14:cfvo>
              <x14:cfIcon iconSet="3TrafficLights1" iconId="2"/>
              <x14:cfIcon iconSet="3TrafficLights1" iconId="2"/>
              <x14:cfIcon iconSet="3TrafficLights1" iconId="0"/>
            </x14:iconSet>
          </x14:cfRule>
          <xm:sqref>F32</xm:sqref>
        </x14:conditionalFormatting>
        <x14:conditionalFormatting xmlns:xm="http://schemas.microsoft.com/office/excel/2006/main">
          <x14:cfRule type="iconSet" priority="1" id="{59B956EB-A105-4D9C-B859-84BACCCF4EB6}">
            <x14:iconSet showValue="0" custom="1">
              <x14:cfvo type="percent">
                <xm:f>0</xm:f>
              </x14:cfvo>
              <x14:cfvo type="num">
                <xm:f>0</xm:f>
              </x14:cfvo>
              <x14:cfvo type="num">
                <xm:f>1</xm:f>
              </x14:cfvo>
              <x14:cfIcon iconSet="3TrafficLights1" iconId="0"/>
              <x14:cfIcon iconSet="3TrafficLights1" iconId="2"/>
              <x14:cfIcon iconSet="3TrafficLights1" iconId="0"/>
            </x14:iconSet>
          </x14:cfRule>
          <xm:sqref>F37</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5A8BFD46-11B7-4D9C-8A0D-671DF9584A6D}">
          <x14:formula1>
            <xm:f>Codes!$C$2:$C$7</xm:f>
          </x14:formula1>
          <xm:sqref>C22:D22</xm:sqref>
        </x14:dataValidation>
        <x14:dataValidation type="list" allowBlank="1" showInputMessage="1" showErrorMessage="1" xr:uid="{0DA70BCB-7F29-4B07-866F-3EED66342F35}">
          <x14:formula1>
            <xm:f>Codes!$B$2:$B$7</xm:f>
          </x14:formula1>
          <xm:sqref>C21:D21</xm:sqref>
        </x14:dataValidation>
        <x14:dataValidation type="list" allowBlank="1" showInputMessage="1" showErrorMessage="1" xr:uid="{C1B59608-C840-41B5-9550-7F9A36502169}">
          <x14:formula1>
            <xm:f>Codes!$F$2:$F$3</xm:f>
          </x14:formula1>
          <xm:sqref>E30:E31</xm:sqref>
        </x14:dataValidation>
        <x14:dataValidation type="list" allowBlank="1" showInputMessage="1" showErrorMessage="1" xr:uid="{1C25FAF8-C4E0-46CA-BCF2-E11542FE3081}">
          <x14:formula1>
            <xm:f>Codes!$J$1:$J$6</xm:f>
          </x14:formula1>
          <xm:sqref>D25:E28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6378F-0D1F-45F2-AA25-9D3D1CFA6EDE}">
  <sheetPr>
    <tabColor theme="9"/>
  </sheetPr>
  <dimension ref="A1:EA1197"/>
  <sheetViews>
    <sheetView zoomScale="70" zoomScaleNormal="70" workbookViewId="0"/>
  </sheetViews>
  <sheetFormatPr defaultRowHeight="14.25" x14ac:dyDescent="0.45"/>
  <cols>
    <col min="2" max="2" width="56.59765625" customWidth="1"/>
    <col min="3" max="3" width="55.86328125" customWidth="1"/>
    <col min="4" max="5" width="15.86328125" customWidth="1"/>
    <col min="6" max="6" width="47.265625" style="1" customWidth="1"/>
    <col min="7" max="7" width="41.86328125" style="1" customWidth="1"/>
    <col min="8" max="8" width="33.3984375" style="1" customWidth="1"/>
    <col min="9" max="9" width="9.1328125" style="1"/>
    <col min="10" max="10" width="10.265625" style="1" bestFit="1" customWidth="1"/>
    <col min="11" max="11" width="11.265625" style="1" bestFit="1" customWidth="1"/>
    <col min="12" max="12" width="13.265625" style="1" bestFit="1" customWidth="1"/>
    <col min="13" max="15" width="9.1328125" style="1"/>
    <col min="16" max="16" width="13.265625" style="1" bestFit="1" customWidth="1"/>
    <col min="17" max="17" width="10.59765625" style="1" bestFit="1" customWidth="1"/>
    <col min="18" max="131" width="9.1328125" style="1"/>
  </cols>
  <sheetData>
    <row r="1" spans="1:8" x14ac:dyDescent="0.45">
      <c r="A1" s="1"/>
      <c r="B1" s="1"/>
      <c r="C1" s="1"/>
      <c r="D1" s="1"/>
      <c r="E1" s="1"/>
    </row>
    <row r="2" spans="1:8" s="1" customFormat="1" ht="21" customHeight="1" x14ac:dyDescent="0.45">
      <c r="B2" s="718" t="s">
        <v>402</v>
      </c>
      <c r="C2" s="718"/>
      <c r="D2" s="718"/>
      <c r="E2" s="718"/>
      <c r="F2" s="718"/>
      <c r="G2" s="718"/>
      <c r="H2" s="718"/>
    </row>
    <row r="3" spans="1:8" s="1" customFormat="1" ht="21" customHeight="1" x14ac:dyDescent="0.45">
      <c r="B3" s="718"/>
      <c r="C3" s="718"/>
      <c r="D3" s="718"/>
      <c r="E3" s="718"/>
      <c r="F3" s="718"/>
      <c r="G3" s="718"/>
      <c r="H3" s="718"/>
    </row>
    <row r="4" spans="1:8" s="1" customFormat="1" x14ac:dyDescent="0.45">
      <c r="B4" s="267"/>
      <c r="C4" s="14"/>
    </row>
    <row r="5" spans="1:8" s="1" customFormat="1" x14ac:dyDescent="0.45">
      <c r="B5" s="357"/>
      <c r="C5" s="268"/>
      <c r="D5" s="5"/>
      <c r="E5" s="5"/>
      <c r="F5" s="5"/>
      <c r="G5" s="5"/>
      <c r="H5" s="6"/>
    </row>
    <row r="6" spans="1:8" s="1" customFormat="1" x14ac:dyDescent="0.45">
      <c r="B6" s="425" t="s">
        <v>5</v>
      </c>
      <c r="C6" s="362"/>
      <c r="D6" s="362"/>
      <c r="E6" s="362"/>
      <c r="F6" s="254"/>
      <c r="G6" s="254"/>
      <c r="H6" s="3"/>
    </row>
    <row r="7" spans="1:8" s="1" customFormat="1" x14ac:dyDescent="0.45">
      <c r="B7" s="366" t="s">
        <v>23</v>
      </c>
      <c r="C7" s="362"/>
      <c r="D7" s="362"/>
      <c r="E7" s="362"/>
      <c r="F7" s="254"/>
      <c r="G7" s="254"/>
      <c r="H7" s="3"/>
    </row>
    <row r="8" spans="1:8" s="1" customFormat="1" x14ac:dyDescent="0.45">
      <c r="B8" s="365" t="s">
        <v>24</v>
      </c>
      <c r="C8" s="362"/>
      <c r="D8" s="362"/>
      <c r="E8" s="362"/>
      <c r="F8" s="254"/>
      <c r="G8" s="254"/>
      <c r="H8" s="3"/>
    </row>
    <row r="9" spans="1:8" s="1" customFormat="1" x14ac:dyDescent="0.45">
      <c r="B9" s="365" t="s">
        <v>25</v>
      </c>
      <c r="C9" s="362"/>
      <c r="D9" s="362"/>
      <c r="E9" s="362"/>
      <c r="F9" s="254"/>
      <c r="G9" s="254"/>
      <c r="H9" s="3"/>
    </row>
    <row r="10" spans="1:8" s="1" customFormat="1" x14ac:dyDescent="0.45">
      <c r="B10" s="363"/>
      <c r="C10" s="364"/>
      <c r="D10" s="364"/>
      <c r="E10" s="364"/>
      <c r="F10" s="12"/>
      <c r="G10" s="12"/>
      <c r="H10" s="17"/>
    </row>
    <row r="11" spans="1:8" s="1" customFormat="1" x14ac:dyDescent="0.45">
      <c r="B11" s="271"/>
      <c r="C11" s="271"/>
      <c r="D11" s="271"/>
      <c r="E11" s="271"/>
    </row>
    <row r="12" spans="1:8" s="1" customFormat="1" x14ac:dyDescent="0.45">
      <c r="B12" s="281" t="s">
        <v>347</v>
      </c>
      <c r="C12" s="271"/>
      <c r="D12" s="271"/>
      <c r="E12" s="271"/>
    </row>
    <row r="13" spans="1:8" s="1" customFormat="1" x14ac:dyDescent="0.45">
      <c r="B13" s="271"/>
      <c r="C13" s="271"/>
      <c r="D13" s="271"/>
      <c r="E13" s="271"/>
    </row>
    <row r="14" spans="1:8" s="1" customFormat="1" x14ac:dyDescent="0.45">
      <c r="B14" s="16" t="s">
        <v>374</v>
      </c>
      <c r="C14" s="271"/>
      <c r="D14" s="661" t="s">
        <v>375</v>
      </c>
      <c r="E14" s="271"/>
      <c r="F14" s="267" t="s">
        <v>419</v>
      </c>
    </row>
    <row r="15" spans="1:8" s="1" customFormat="1" x14ac:dyDescent="0.45">
      <c r="B15" s="271"/>
      <c r="C15" s="271"/>
      <c r="D15" s="271"/>
      <c r="E15" s="271"/>
    </row>
    <row r="16" spans="1:8" s="1" customFormat="1" ht="15.75" x14ac:dyDescent="0.5">
      <c r="B16" s="278" t="s">
        <v>28</v>
      </c>
      <c r="C16" s="272"/>
      <c r="D16" s="272"/>
      <c r="E16" s="272"/>
      <c r="F16" s="715" t="s">
        <v>26</v>
      </c>
      <c r="G16" s="716"/>
      <c r="H16" s="717"/>
    </row>
    <row r="17" spans="2:17" s="1" customFormat="1" x14ac:dyDescent="0.45">
      <c r="B17" s="279" t="s">
        <v>403</v>
      </c>
      <c r="D17" s="658">
        <v>1000000</v>
      </c>
      <c r="F17" s="712" t="s">
        <v>27</v>
      </c>
      <c r="G17" s="713"/>
      <c r="H17" s="714"/>
    </row>
    <row r="18" spans="2:17" s="1" customFormat="1" x14ac:dyDescent="0.45">
      <c r="B18" s="279" t="s">
        <v>404</v>
      </c>
      <c r="D18" s="658">
        <v>5000</v>
      </c>
      <c r="E18" s="272"/>
      <c r="F18" s="117" t="s">
        <v>29</v>
      </c>
      <c r="G18" s="268"/>
      <c r="H18" s="269"/>
    </row>
    <row r="19" spans="2:17" s="1" customFormat="1" x14ac:dyDescent="0.45">
      <c r="B19" s="279"/>
      <c r="D19" s="280"/>
      <c r="E19" s="87"/>
      <c r="F19" s="2" t="s">
        <v>30</v>
      </c>
      <c r="G19" s="256">
        <f>$D$17</f>
        <v>1000000</v>
      </c>
      <c r="H19" s="3"/>
    </row>
    <row r="20" spans="2:17" s="1" customFormat="1" x14ac:dyDescent="0.45">
      <c r="B20" s="279" t="s">
        <v>405</v>
      </c>
      <c r="D20" s="662">
        <v>15</v>
      </c>
      <c r="E20" s="87"/>
      <c r="F20" s="2" t="s">
        <v>31</v>
      </c>
      <c r="G20" s="256">
        <f>$D$18</f>
        <v>5000</v>
      </c>
      <c r="H20" s="3"/>
    </row>
    <row r="21" spans="2:17" s="1" customFormat="1" x14ac:dyDescent="0.45">
      <c r="B21" s="279" t="s">
        <v>406</v>
      </c>
      <c r="D21" s="662">
        <v>120</v>
      </c>
      <c r="E21" s="280"/>
      <c r="F21" s="114" t="s">
        <v>32</v>
      </c>
      <c r="G21" s="264"/>
      <c r="H21" s="153">
        <f>G19+G20</f>
        <v>1005000</v>
      </c>
      <c r="J21" s="282"/>
    </row>
    <row r="22" spans="2:17" s="1" customFormat="1" x14ac:dyDescent="0.45">
      <c r="B22" s="279"/>
      <c r="E22" s="280"/>
      <c r="F22" s="2"/>
      <c r="G22" s="254"/>
      <c r="H22" s="24"/>
      <c r="P22" s="283"/>
    </row>
    <row r="23" spans="2:17" s="1" customFormat="1" x14ac:dyDescent="0.45">
      <c r="B23" s="279" t="s">
        <v>407</v>
      </c>
      <c r="D23" s="663">
        <v>700000</v>
      </c>
      <c r="E23" s="280"/>
      <c r="F23" s="114" t="s">
        <v>34</v>
      </c>
      <c r="G23" s="264"/>
      <c r="H23" s="24"/>
      <c r="J23" s="88"/>
      <c r="P23" s="283"/>
    </row>
    <row r="24" spans="2:17" s="1" customFormat="1" x14ac:dyDescent="0.45">
      <c r="B24" s="279" t="s">
        <v>408</v>
      </c>
      <c r="D24" s="657">
        <v>0.55000000000000004</v>
      </c>
      <c r="F24" s="154" t="s">
        <v>35</v>
      </c>
      <c r="G24" s="256">
        <f>D27+(D28*(D20-1))</f>
        <v>510000</v>
      </c>
      <c r="H24" s="3"/>
      <c r="P24" s="283"/>
    </row>
    <row r="25" spans="2:17" s="1" customFormat="1" x14ac:dyDescent="0.45">
      <c r="B25" s="279"/>
      <c r="C25" s="84"/>
      <c r="D25" s="468"/>
      <c r="E25" s="87"/>
      <c r="F25" s="2" t="s">
        <v>36</v>
      </c>
      <c r="G25" s="256">
        <f>(H30+D27)*D29</f>
        <v>570000</v>
      </c>
      <c r="H25" s="3"/>
      <c r="P25" s="283"/>
      <c r="Q25" s="284"/>
    </row>
    <row r="26" spans="2:17" s="1" customFormat="1" x14ac:dyDescent="0.45">
      <c r="B26" s="279" t="s">
        <v>409</v>
      </c>
      <c r="D26" s="658">
        <v>3000</v>
      </c>
      <c r="E26" s="468"/>
      <c r="F26" s="2" t="s">
        <v>37</v>
      </c>
      <c r="G26" s="256">
        <f>(D27+H30)*D30</f>
        <v>855000</v>
      </c>
      <c r="H26" s="3"/>
      <c r="J26" s="88"/>
      <c r="K26" s="152"/>
      <c r="P26" s="283"/>
    </row>
    <row r="27" spans="2:17" s="1" customFormat="1" x14ac:dyDescent="0.45">
      <c r="B27" s="279" t="s">
        <v>410</v>
      </c>
      <c r="D27" s="658">
        <v>300000</v>
      </c>
      <c r="E27" s="468"/>
      <c r="F27" s="2" t="s">
        <v>380</v>
      </c>
      <c r="G27" s="256">
        <f>(($G$19-D43)+$G$20)*SUM($D$33:$D$35)/12*D31</f>
        <v>86362.500000000015</v>
      </c>
      <c r="H27" s="3"/>
      <c r="J27" s="88"/>
      <c r="P27" s="283"/>
      <c r="Q27" s="284"/>
    </row>
    <row r="28" spans="2:17" s="1" customFormat="1" x14ac:dyDescent="0.45">
      <c r="B28" s="279" t="s">
        <v>411</v>
      </c>
      <c r="C28"/>
      <c r="D28" s="658">
        <v>15000</v>
      </c>
      <c r="E28" s="87"/>
      <c r="F28" s="2" t="s">
        <v>381</v>
      </c>
      <c r="G28" s="256">
        <f>(G24+G25+G26+H30)*SUM($D$33:$D$35)/12*D31*0.5</f>
        <v>449268.75000000006</v>
      </c>
      <c r="H28" s="153">
        <f>SUM(G24:G28)</f>
        <v>2470631.25</v>
      </c>
      <c r="J28" s="285"/>
      <c r="P28" s="283"/>
    </row>
    <row r="29" spans="2:17" s="1" customFormat="1" x14ac:dyDescent="0.45">
      <c r="B29" s="279" t="s">
        <v>412</v>
      </c>
      <c r="D29" s="657">
        <v>0.1</v>
      </c>
      <c r="E29" s="87"/>
      <c r="F29" s="2"/>
      <c r="G29" s="254"/>
      <c r="H29" s="3"/>
      <c r="K29" s="152"/>
      <c r="M29" s="14"/>
      <c r="P29" s="283"/>
    </row>
    <row r="30" spans="2:17" s="1" customFormat="1" x14ac:dyDescent="0.45">
      <c r="B30" s="279" t="s">
        <v>413</v>
      </c>
      <c r="D30" s="657">
        <v>0.15</v>
      </c>
      <c r="E30" s="87"/>
      <c r="F30" s="114" t="s">
        <v>33</v>
      </c>
      <c r="G30" s="254"/>
      <c r="H30" s="153">
        <f>$D$20*$D$21*$D$26</f>
        <v>5400000</v>
      </c>
      <c r="J30" s="88"/>
      <c r="P30" s="286"/>
    </row>
    <row r="31" spans="2:17" s="1" customFormat="1" x14ac:dyDescent="0.45">
      <c r="B31" s="279" t="s">
        <v>414</v>
      </c>
      <c r="D31" s="657">
        <v>7.0000000000000007E-2</v>
      </c>
      <c r="E31" s="468"/>
      <c r="F31" s="2"/>
      <c r="G31" s="254"/>
      <c r="H31" s="3"/>
      <c r="J31" s="287"/>
      <c r="L31" s="14"/>
      <c r="M31" s="14"/>
      <c r="N31" s="14"/>
      <c r="O31" s="14"/>
      <c r="P31" s="288"/>
    </row>
    <row r="32" spans="2:17" s="1" customFormat="1" x14ac:dyDescent="0.45">
      <c r="E32" s="468"/>
      <c r="F32" s="102" t="s">
        <v>38</v>
      </c>
      <c r="G32" s="25"/>
      <c r="H32" s="26">
        <f>H28+H30+H21</f>
        <v>8875631.25</v>
      </c>
      <c r="P32" s="283"/>
      <c r="Q32" s="289"/>
    </row>
    <row r="33" spans="2:16" s="1" customFormat="1" ht="16.5" x14ac:dyDescent="0.75">
      <c r="B33" s="279" t="s">
        <v>415</v>
      </c>
      <c r="D33" s="662">
        <v>6</v>
      </c>
      <c r="E33" s="280"/>
      <c r="F33" s="594" t="s">
        <v>39</v>
      </c>
      <c r="G33" s="595"/>
      <c r="H33" s="596"/>
      <c r="P33" s="291"/>
    </row>
    <row r="34" spans="2:16" s="1" customFormat="1" x14ac:dyDescent="0.45">
      <c r="B34" s="279" t="s">
        <v>416</v>
      </c>
      <c r="D34" s="662">
        <v>12</v>
      </c>
      <c r="E34" s="280"/>
      <c r="F34" s="4" t="s">
        <v>40</v>
      </c>
      <c r="G34" s="290">
        <f>(D23*D24)*D20</f>
        <v>5775000.0000000009</v>
      </c>
      <c r="H34" s="277"/>
      <c r="P34" s="289"/>
    </row>
    <row r="35" spans="2:16" s="1" customFormat="1" ht="16.5" x14ac:dyDescent="0.75">
      <c r="B35" s="279" t="s">
        <v>417</v>
      </c>
      <c r="D35" s="662">
        <v>3</v>
      </c>
      <c r="E35" s="280"/>
      <c r="F35" s="154" t="s">
        <v>41</v>
      </c>
      <c r="G35" s="87">
        <f>((D20*D23)-((D20*D23/1.15)))</f>
        <v>1369565.2173913028</v>
      </c>
      <c r="H35" s="3"/>
      <c r="I35" s="280"/>
      <c r="J35" s="280"/>
      <c r="K35" s="280"/>
      <c r="M35" s="280"/>
      <c r="P35" s="291"/>
    </row>
    <row r="36" spans="2:16" s="1" customFormat="1" x14ac:dyDescent="0.45">
      <c r="B36" s="14"/>
      <c r="F36" s="154" t="s">
        <v>42</v>
      </c>
      <c r="G36" s="292">
        <f>D20*1500</f>
        <v>22500</v>
      </c>
      <c r="H36" s="3"/>
      <c r="L36" s="293"/>
      <c r="P36" s="283"/>
    </row>
    <row r="37" spans="2:16" s="1" customFormat="1" x14ac:dyDescent="0.45">
      <c r="B37" s="279" t="s">
        <v>418</v>
      </c>
      <c r="D37" s="657">
        <v>0</v>
      </c>
      <c r="E37" s="84">
        <f>IF(D37&gt;=G39,0,1)</f>
        <v>1</v>
      </c>
      <c r="F37" s="114" t="s">
        <v>43</v>
      </c>
      <c r="H37" s="270">
        <f>G34-G35-G36</f>
        <v>4382934.7826086981</v>
      </c>
      <c r="L37" s="293"/>
      <c r="P37" s="285"/>
    </row>
    <row r="38" spans="2:16" s="1" customFormat="1" ht="14.65" thickBot="1" x14ac:dyDescent="0.5">
      <c r="B38" s="267" t="s">
        <v>46</v>
      </c>
      <c r="F38" s="102" t="s">
        <v>44</v>
      </c>
      <c r="H38" s="275">
        <f>D39*D20*D23</f>
        <v>4725000</v>
      </c>
      <c r="P38" s="283"/>
    </row>
    <row r="39" spans="2:16" s="1" customFormat="1" ht="15.75" customHeight="1" thickBot="1" x14ac:dyDescent="0.5">
      <c r="B39" s="279" t="s">
        <v>420</v>
      </c>
      <c r="D39" s="657">
        <v>0.45</v>
      </c>
      <c r="E39" s="468"/>
      <c r="F39" s="294" t="s">
        <v>45</v>
      </c>
      <c r="G39" s="295">
        <f>H39/(H32)</f>
        <v>2.6173184313926859E-2</v>
      </c>
      <c r="H39" s="296">
        <f>(H37+H38)-H32</f>
        <v>232303.53260869905</v>
      </c>
    </row>
    <row r="40" spans="2:16" s="1" customFormat="1" x14ac:dyDescent="0.45">
      <c r="B40" s="597" t="s">
        <v>48</v>
      </c>
      <c r="C40" s="276"/>
    </row>
    <row r="41" spans="2:16" s="1" customFormat="1" x14ac:dyDescent="0.45">
      <c r="B41" s="279"/>
      <c r="F41" s="117" t="s">
        <v>47</v>
      </c>
      <c r="G41" s="5"/>
      <c r="H41" s="6"/>
    </row>
    <row r="42" spans="2:16" s="1" customFormat="1" x14ac:dyDescent="0.45">
      <c r="B42" s="279" t="s">
        <v>421</v>
      </c>
      <c r="F42" s="11" t="s">
        <v>49</v>
      </c>
      <c r="G42" s="12"/>
      <c r="H42" s="275">
        <f>SUM($D$43:$D$46)</f>
        <v>900000</v>
      </c>
    </row>
    <row r="43" spans="2:16" s="1" customFormat="1" ht="14.65" thickBot="1" x14ac:dyDescent="0.5">
      <c r="C43" s="303" t="s">
        <v>50</v>
      </c>
      <c r="D43" s="663">
        <v>300000</v>
      </c>
      <c r="E43" s="292"/>
    </row>
    <row r="44" spans="2:16" s="1" customFormat="1" x14ac:dyDescent="0.45">
      <c r="C44" s="664" t="s">
        <v>51</v>
      </c>
      <c r="D44" s="658">
        <v>200000</v>
      </c>
      <c r="E44" s="87"/>
      <c r="F44" s="588" t="s">
        <v>422</v>
      </c>
      <c r="G44" s="589"/>
      <c r="H44" s="638">
        <f>(D20*D23)-(G34+H38+H42)</f>
        <v>-900000</v>
      </c>
    </row>
    <row r="45" spans="2:16" s="1" customFormat="1" x14ac:dyDescent="0.45">
      <c r="C45" s="664" t="s">
        <v>52</v>
      </c>
      <c r="D45" s="658">
        <v>200000</v>
      </c>
      <c r="E45" s="87"/>
      <c r="F45" s="490" t="s">
        <v>423</v>
      </c>
      <c r="G45" s="254"/>
      <c r="H45" s="590">
        <f>IF(H44&lt;0,0,H44)</f>
        <v>0</v>
      </c>
      <c r="J45" s="88"/>
    </row>
    <row r="46" spans="2:16" s="1" customFormat="1" x14ac:dyDescent="0.45">
      <c r="C46" s="664" t="s">
        <v>53</v>
      </c>
      <c r="D46" s="658">
        <v>200000</v>
      </c>
      <c r="E46" s="87"/>
      <c r="F46" s="490"/>
      <c r="G46" s="254"/>
      <c r="H46" s="493"/>
      <c r="J46" s="88"/>
    </row>
    <row r="47" spans="2:16" s="1" customFormat="1" x14ac:dyDescent="0.45">
      <c r="F47" s="636" t="s">
        <v>373</v>
      </c>
      <c r="G47" s="254"/>
      <c r="H47" s="637"/>
      <c r="I47" s="274"/>
      <c r="J47" s="297"/>
      <c r="L47" s="274"/>
    </row>
    <row r="48" spans="2:16" s="1" customFormat="1" x14ac:dyDescent="0.45">
      <c r="B48" s="298" t="s">
        <v>54</v>
      </c>
      <c r="C48" s="273"/>
      <c r="D48" s="273"/>
      <c r="E48" s="273"/>
      <c r="F48" s="490" t="s">
        <v>424</v>
      </c>
      <c r="G48" s="254"/>
      <c r="H48" s="590">
        <f>-IF(($H$32-$H$42)&lt;=0,0,(-$H$32+$H$42))</f>
        <v>7975631.25</v>
      </c>
    </row>
    <row r="49" spans="2:10" s="1" customFormat="1" ht="14.65" thickBot="1" x14ac:dyDescent="0.5">
      <c r="B49" s="298" t="s">
        <v>55</v>
      </c>
      <c r="C49" s="7"/>
      <c r="F49" s="495" t="s">
        <v>378</v>
      </c>
      <c r="G49" s="496"/>
      <c r="H49" s="591">
        <f>-IF(OR($H$39&gt;=0,($H$39+$H$42)&gt;0),0,($H$39+$H$42))</f>
        <v>0</v>
      </c>
    </row>
    <row r="50" spans="2:10" s="1" customFormat="1" x14ac:dyDescent="0.45">
      <c r="C50" s="7"/>
    </row>
    <row r="51" spans="2:10" s="1" customFormat="1" x14ac:dyDescent="0.45">
      <c r="B51" s="298"/>
      <c r="C51" s="7"/>
      <c r="J51" s="297"/>
    </row>
    <row r="52" spans="2:10" s="1" customFormat="1" x14ac:dyDescent="0.45">
      <c r="B52" s="298"/>
      <c r="C52" s="7"/>
    </row>
    <row r="53" spans="2:10" s="1" customFormat="1" x14ac:dyDescent="0.45"/>
    <row r="54" spans="2:10" s="1" customFormat="1" x14ac:dyDescent="0.45"/>
    <row r="55" spans="2:10" s="1" customFormat="1" x14ac:dyDescent="0.45"/>
    <row r="56" spans="2:10" s="1" customFormat="1" x14ac:dyDescent="0.45"/>
    <row r="57" spans="2:10" s="1" customFormat="1" x14ac:dyDescent="0.45"/>
    <row r="58" spans="2:10" s="1" customFormat="1" x14ac:dyDescent="0.45"/>
    <row r="59" spans="2:10" s="1" customFormat="1" x14ac:dyDescent="0.45"/>
    <row r="60" spans="2:10" s="1" customFormat="1" x14ac:dyDescent="0.45"/>
    <row r="61" spans="2:10" s="1" customFormat="1" x14ac:dyDescent="0.45"/>
    <row r="62" spans="2:10" s="1" customFormat="1" x14ac:dyDescent="0.45"/>
    <row r="63" spans="2:10" s="1" customFormat="1" x14ac:dyDescent="0.45"/>
    <row r="64" spans="2:10" s="1" customFormat="1" x14ac:dyDescent="0.45"/>
    <row r="65" s="1" customFormat="1" x14ac:dyDescent="0.45"/>
    <row r="66" s="1" customFormat="1" x14ac:dyDescent="0.45"/>
    <row r="67" s="1" customFormat="1" x14ac:dyDescent="0.45"/>
    <row r="68" s="1" customFormat="1" x14ac:dyDescent="0.45"/>
    <row r="69" s="1" customFormat="1" x14ac:dyDescent="0.45"/>
    <row r="70" s="1" customFormat="1" x14ac:dyDescent="0.45"/>
    <row r="71" s="1" customFormat="1" x14ac:dyDescent="0.45"/>
    <row r="72" s="1" customFormat="1" x14ac:dyDescent="0.45"/>
    <row r="73" s="1" customFormat="1" x14ac:dyDescent="0.45"/>
    <row r="74" s="1" customFormat="1" x14ac:dyDescent="0.45"/>
    <row r="75" s="1" customFormat="1" x14ac:dyDescent="0.45"/>
    <row r="76" s="1" customFormat="1" x14ac:dyDescent="0.45"/>
    <row r="77" s="1" customFormat="1" x14ac:dyDescent="0.45"/>
    <row r="78" s="1" customFormat="1" x14ac:dyDescent="0.45"/>
    <row r="79" s="1" customFormat="1" x14ac:dyDescent="0.45"/>
    <row r="80" s="1" customFormat="1" x14ac:dyDescent="0.45"/>
    <row r="81" s="1" customFormat="1" x14ac:dyDescent="0.45"/>
    <row r="82" s="1" customFormat="1" x14ac:dyDescent="0.45"/>
    <row r="83" s="1" customFormat="1" x14ac:dyDescent="0.45"/>
    <row r="84" s="1" customFormat="1" x14ac:dyDescent="0.45"/>
    <row r="85" s="1" customFormat="1" x14ac:dyDescent="0.45"/>
    <row r="86" s="1" customFormat="1" x14ac:dyDescent="0.45"/>
    <row r="87" s="1" customFormat="1" x14ac:dyDescent="0.45"/>
    <row r="88" s="1" customFormat="1" x14ac:dyDescent="0.45"/>
    <row r="89" s="1" customFormat="1" x14ac:dyDescent="0.45"/>
    <row r="90" s="1" customFormat="1" x14ac:dyDescent="0.45"/>
    <row r="91" s="1" customFormat="1" x14ac:dyDescent="0.45"/>
    <row r="92" s="1" customFormat="1" x14ac:dyDescent="0.45"/>
    <row r="93" s="1" customFormat="1" x14ac:dyDescent="0.45"/>
    <row r="94" s="1" customFormat="1" x14ac:dyDescent="0.45"/>
    <row r="95" s="1" customFormat="1" x14ac:dyDescent="0.45"/>
    <row r="96" s="1" customFormat="1" x14ac:dyDescent="0.45"/>
    <row r="97" s="1" customFormat="1" x14ac:dyDescent="0.45"/>
    <row r="98" s="1" customFormat="1" x14ac:dyDescent="0.45"/>
    <row r="99" s="1" customFormat="1" x14ac:dyDescent="0.45"/>
    <row r="100" s="1" customFormat="1" x14ac:dyDescent="0.45"/>
    <row r="101" s="1" customFormat="1" x14ac:dyDescent="0.45"/>
    <row r="102" s="1" customFormat="1" x14ac:dyDescent="0.45"/>
    <row r="103" s="1" customFormat="1" x14ac:dyDescent="0.45"/>
    <row r="104" s="1" customFormat="1" x14ac:dyDescent="0.45"/>
    <row r="105" s="1" customFormat="1" x14ac:dyDescent="0.45"/>
    <row r="106" s="1" customFormat="1" x14ac:dyDescent="0.45"/>
    <row r="107" s="1" customFormat="1" x14ac:dyDescent="0.45"/>
    <row r="108" s="1" customFormat="1" x14ac:dyDescent="0.45"/>
    <row r="109" s="1" customFormat="1" x14ac:dyDescent="0.45"/>
    <row r="110" s="1" customFormat="1" x14ac:dyDescent="0.45"/>
    <row r="111" s="1" customFormat="1" x14ac:dyDescent="0.45"/>
    <row r="112" s="1" customFormat="1" x14ac:dyDescent="0.45"/>
    <row r="113" s="1" customFormat="1" x14ac:dyDescent="0.45"/>
    <row r="114" s="1" customFormat="1" x14ac:dyDescent="0.45"/>
    <row r="115" s="1" customFormat="1" x14ac:dyDescent="0.45"/>
    <row r="116" s="1" customFormat="1" x14ac:dyDescent="0.45"/>
    <row r="117" s="1" customFormat="1" x14ac:dyDescent="0.45"/>
    <row r="118" s="1" customFormat="1" x14ac:dyDescent="0.45"/>
    <row r="119" s="1" customFormat="1" x14ac:dyDescent="0.45"/>
    <row r="120" s="1" customFormat="1" x14ac:dyDescent="0.45"/>
    <row r="121" s="1" customFormat="1" x14ac:dyDescent="0.45"/>
    <row r="122" s="1" customFormat="1" x14ac:dyDescent="0.45"/>
    <row r="123" s="1" customFormat="1" x14ac:dyDescent="0.45"/>
    <row r="124" s="1" customFormat="1" x14ac:dyDescent="0.45"/>
    <row r="125" s="1" customFormat="1" x14ac:dyDescent="0.45"/>
    <row r="126" s="1" customFormat="1" x14ac:dyDescent="0.45"/>
    <row r="127" s="1" customFormat="1" x14ac:dyDescent="0.45"/>
    <row r="128" s="1" customFormat="1" x14ac:dyDescent="0.45"/>
    <row r="129" s="1" customFormat="1" x14ac:dyDescent="0.45"/>
    <row r="130" s="1" customFormat="1" x14ac:dyDescent="0.45"/>
    <row r="131" s="1" customFormat="1" x14ac:dyDescent="0.45"/>
    <row r="132" s="1" customFormat="1" x14ac:dyDescent="0.45"/>
    <row r="133" s="1" customFormat="1" x14ac:dyDescent="0.45"/>
    <row r="134" s="1" customFormat="1" x14ac:dyDescent="0.45"/>
    <row r="135" s="1" customFormat="1" x14ac:dyDescent="0.45"/>
    <row r="136" s="1" customFormat="1" x14ac:dyDescent="0.45"/>
    <row r="137" s="1" customFormat="1" x14ac:dyDescent="0.45"/>
    <row r="138" s="1" customFormat="1" x14ac:dyDescent="0.45"/>
    <row r="139" s="1" customFormat="1" x14ac:dyDescent="0.45"/>
    <row r="140" s="1" customFormat="1" x14ac:dyDescent="0.45"/>
    <row r="141" s="1" customFormat="1" x14ac:dyDescent="0.45"/>
    <row r="142" s="1" customFormat="1" x14ac:dyDescent="0.45"/>
    <row r="143" s="1" customFormat="1" x14ac:dyDescent="0.45"/>
    <row r="144" s="1" customFormat="1" x14ac:dyDescent="0.45"/>
    <row r="145" s="1" customFormat="1" x14ac:dyDescent="0.45"/>
    <row r="146" s="1" customFormat="1" x14ac:dyDescent="0.45"/>
    <row r="147" s="1" customFormat="1" x14ac:dyDescent="0.45"/>
    <row r="148" s="1" customFormat="1" x14ac:dyDescent="0.45"/>
    <row r="149" s="1" customFormat="1" x14ac:dyDescent="0.45"/>
    <row r="150" s="1" customFormat="1" x14ac:dyDescent="0.45"/>
    <row r="151" s="1" customFormat="1" x14ac:dyDescent="0.45"/>
    <row r="152" s="1" customFormat="1" x14ac:dyDescent="0.45"/>
    <row r="153" s="1" customFormat="1" x14ac:dyDescent="0.45"/>
    <row r="154" s="1" customFormat="1" x14ac:dyDescent="0.45"/>
    <row r="155" s="1" customFormat="1" x14ac:dyDescent="0.45"/>
    <row r="156" s="1" customFormat="1" x14ac:dyDescent="0.45"/>
    <row r="157" s="1" customFormat="1" x14ac:dyDescent="0.45"/>
    <row r="158" s="1" customFormat="1" x14ac:dyDescent="0.45"/>
    <row r="159" s="1" customFormat="1" x14ac:dyDescent="0.45"/>
    <row r="160" s="1" customFormat="1" x14ac:dyDescent="0.45"/>
    <row r="161" s="1" customFormat="1" x14ac:dyDescent="0.45"/>
    <row r="162" s="1" customFormat="1" x14ac:dyDescent="0.45"/>
    <row r="163" s="1" customFormat="1" x14ac:dyDescent="0.45"/>
    <row r="164" s="1" customFormat="1" x14ac:dyDescent="0.45"/>
    <row r="165" s="1" customFormat="1" x14ac:dyDescent="0.45"/>
    <row r="166" s="1" customFormat="1" x14ac:dyDescent="0.45"/>
    <row r="167" s="1" customFormat="1" x14ac:dyDescent="0.45"/>
    <row r="168" s="1" customFormat="1" x14ac:dyDescent="0.45"/>
    <row r="169" s="1" customFormat="1" x14ac:dyDescent="0.45"/>
    <row r="170" s="1" customFormat="1" x14ac:dyDescent="0.45"/>
    <row r="171" s="1" customFormat="1" x14ac:dyDescent="0.45"/>
    <row r="172" s="1" customFormat="1" x14ac:dyDescent="0.45"/>
    <row r="173" s="1" customFormat="1" x14ac:dyDescent="0.45"/>
    <row r="174" s="1" customFormat="1" x14ac:dyDescent="0.45"/>
    <row r="175" s="1" customFormat="1" x14ac:dyDescent="0.45"/>
    <row r="176" s="1" customFormat="1" x14ac:dyDescent="0.45"/>
    <row r="177" s="1" customFormat="1" x14ac:dyDescent="0.45"/>
    <row r="178" s="1" customFormat="1" x14ac:dyDescent="0.45"/>
    <row r="179" s="1" customFormat="1" x14ac:dyDescent="0.45"/>
    <row r="180" s="1" customFormat="1" x14ac:dyDescent="0.45"/>
    <row r="181" s="1" customFormat="1" x14ac:dyDescent="0.45"/>
    <row r="182" s="1" customFormat="1" x14ac:dyDescent="0.45"/>
    <row r="183" s="1" customFormat="1" x14ac:dyDescent="0.45"/>
    <row r="184" s="1" customFormat="1" x14ac:dyDescent="0.45"/>
    <row r="185" s="1" customFormat="1" x14ac:dyDescent="0.45"/>
    <row r="186" s="1" customFormat="1" x14ac:dyDescent="0.45"/>
    <row r="187" s="1" customFormat="1" x14ac:dyDescent="0.45"/>
    <row r="188" s="1" customFormat="1" x14ac:dyDescent="0.45"/>
    <row r="189" s="1" customFormat="1" x14ac:dyDescent="0.45"/>
    <row r="190" s="1" customFormat="1" x14ac:dyDescent="0.45"/>
    <row r="191" s="1" customFormat="1" x14ac:dyDescent="0.45"/>
    <row r="192" s="1" customFormat="1" x14ac:dyDescent="0.45"/>
    <row r="193" s="1" customFormat="1" x14ac:dyDescent="0.45"/>
    <row r="194" s="1" customFormat="1" x14ac:dyDescent="0.45"/>
    <row r="195" s="1" customFormat="1" x14ac:dyDescent="0.45"/>
    <row r="196" s="1" customFormat="1" x14ac:dyDescent="0.45"/>
    <row r="197" s="1" customFormat="1" x14ac:dyDescent="0.45"/>
    <row r="198" s="1" customFormat="1" x14ac:dyDescent="0.45"/>
    <row r="199" s="1" customFormat="1" x14ac:dyDescent="0.45"/>
    <row r="200" s="1" customFormat="1" x14ac:dyDescent="0.45"/>
    <row r="201" s="1" customFormat="1" x14ac:dyDescent="0.45"/>
    <row r="202" s="1" customFormat="1" x14ac:dyDescent="0.45"/>
    <row r="203" s="1" customFormat="1" x14ac:dyDescent="0.45"/>
    <row r="204" s="1" customFormat="1" x14ac:dyDescent="0.45"/>
    <row r="205" s="1" customFormat="1" x14ac:dyDescent="0.45"/>
    <row r="206" s="1" customFormat="1" x14ac:dyDescent="0.45"/>
    <row r="207" s="1" customFormat="1" x14ac:dyDescent="0.45"/>
    <row r="208" s="1" customFormat="1" x14ac:dyDescent="0.45"/>
    <row r="209" s="1" customFormat="1" x14ac:dyDescent="0.45"/>
    <row r="210" s="1" customFormat="1" x14ac:dyDescent="0.45"/>
    <row r="211" s="1" customFormat="1" x14ac:dyDescent="0.45"/>
    <row r="212" s="1" customFormat="1" x14ac:dyDescent="0.45"/>
    <row r="213" s="1" customFormat="1" x14ac:dyDescent="0.45"/>
    <row r="214" s="1" customFormat="1" x14ac:dyDescent="0.45"/>
    <row r="215" s="1" customFormat="1" x14ac:dyDescent="0.45"/>
    <row r="216" s="1" customFormat="1" x14ac:dyDescent="0.45"/>
    <row r="217" s="1" customFormat="1" x14ac:dyDescent="0.45"/>
    <row r="218" s="1" customFormat="1" x14ac:dyDescent="0.45"/>
    <row r="219" s="1" customFormat="1" x14ac:dyDescent="0.45"/>
    <row r="220" s="1" customFormat="1" x14ac:dyDescent="0.45"/>
    <row r="221" s="1" customFormat="1" x14ac:dyDescent="0.45"/>
    <row r="222" s="1" customFormat="1" x14ac:dyDescent="0.45"/>
    <row r="223" s="1" customFormat="1" x14ac:dyDescent="0.45"/>
    <row r="224" s="1" customFormat="1" x14ac:dyDescent="0.45"/>
    <row r="225" s="1" customFormat="1" x14ac:dyDescent="0.45"/>
    <row r="226" s="1" customFormat="1" x14ac:dyDescent="0.45"/>
    <row r="227" s="1" customFormat="1" x14ac:dyDescent="0.45"/>
    <row r="228" s="1" customFormat="1" x14ac:dyDescent="0.45"/>
    <row r="229" s="1" customFormat="1" x14ac:dyDescent="0.45"/>
    <row r="230" s="1" customFormat="1" x14ac:dyDescent="0.45"/>
    <row r="231" s="1" customFormat="1" x14ac:dyDescent="0.45"/>
    <row r="232" s="1" customFormat="1" x14ac:dyDescent="0.45"/>
    <row r="233" s="1" customFormat="1" x14ac:dyDescent="0.45"/>
    <row r="234" s="1" customFormat="1" x14ac:dyDescent="0.45"/>
    <row r="235" s="1" customFormat="1" x14ac:dyDescent="0.45"/>
    <row r="236" s="1" customFormat="1" x14ac:dyDescent="0.45"/>
    <row r="237" s="1" customFormat="1" x14ac:dyDescent="0.45"/>
    <row r="238" s="1" customFormat="1" x14ac:dyDescent="0.45"/>
    <row r="239" s="1" customFormat="1" x14ac:dyDescent="0.45"/>
    <row r="240" s="1" customFormat="1" x14ac:dyDescent="0.45"/>
    <row r="241" s="1" customFormat="1" x14ac:dyDescent="0.45"/>
    <row r="242" s="1" customFormat="1" x14ac:dyDescent="0.45"/>
    <row r="243" s="1" customFormat="1" x14ac:dyDescent="0.45"/>
    <row r="244" s="1" customFormat="1" x14ac:dyDescent="0.45"/>
    <row r="245" s="1" customFormat="1" x14ac:dyDescent="0.45"/>
    <row r="246" s="1" customFormat="1" x14ac:dyDescent="0.45"/>
    <row r="247" s="1" customFormat="1" x14ac:dyDescent="0.45"/>
    <row r="248" s="1" customFormat="1" x14ac:dyDescent="0.45"/>
    <row r="249" s="1" customFormat="1" x14ac:dyDescent="0.45"/>
    <row r="250" s="1" customFormat="1" x14ac:dyDescent="0.45"/>
    <row r="251" s="1" customFormat="1" x14ac:dyDescent="0.45"/>
    <row r="252" s="1" customFormat="1" x14ac:dyDescent="0.45"/>
    <row r="253" s="1" customFormat="1" x14ac:dyDescent="0.45"/>
    <row r="254" s="1" customFormat="1" x14ac:dyDescent="0.45"/>
    <row r="255" s="1" customFormat="1" x14ac:dyDescent="0.45"/>
    <row r="256" s="1" customFormat="1" x14ac:dyDescent="0.45"/>
    <row r="257" s="1" customFormat="1" x14ac:dyDescent="0.45"/>
    <row r="258" s="1" customFormat="1" x14ac:dyDescent="0.45"/>
    <row r="259" s="1" customFormat="1" x14ac:dyDescent="0.45"/>
    <row r="260" s="1" customFormat="1" x14ac:dyDescent="0.45"/>
    <row r="261" s="1" customFormat="1" x14ac:dyDescent="0.45"/>
    <row r="262" s="1" customFormat="1" x14ac:dyDescent="0.45"/>
    <row r="263" s="1" customFormat="1" x14ac:dyDescent="0.45"/>
    <row r="264" s="1" customFormat="1" x14ac:dyDescent="0.45"/>
    <row r="265" s="1" customFormat="1" x14ac:dyDescent="0.45"/>
    <row r="266" s="1" customFormat="1" x14ac:dyDescent="0.45"/>
    <row r="267" s="1" customFormat="1" x14ac:dyDescent="0.45"/>
    <row r="268" s="1" customFormat="1" x14ac:dyDescent="0.45"/>
    <row r="269" s="1" customFormat="1" x14ac:dyDescent="0.45"/>
    <row r="270" s="1" customFormat="1" x14ac:dyDescent="0.45"/>
    <row r="271" s="1" customFormat="1" x14ac:dyDescent="0.45"/>
    <row r="272" s="1" customFormat="1" x14ac:dyDescent="0.45"/>
    <row r="273" s="1" customFormat="1" x14ac:dyDescent="0.45"/>
    <row r="274" s="1" customFormat="1" x14ac:dyDescent="0.45"/>
    <row r="275" s="1" customFormat="1" x14ac:dyDescent="0.45"/>
    <row r="276" s="1" customFormat="1" x14ac:dyDescent="0.45"/>
    <row r="277" s="1" customFormat="1" x14ac:dyDescent="0.45"/>
    <row r="278" s="1" customFormat="1" x14ac:dyDescent="0.45"/>
    <row r="279" s="1" customFormat="1" x14ac:dyDescent="0.45"/>
    <row r="280" s="1" customFormat="1" x14ac:dyDescent="0.45"/>
    <row r="281" s="1" customFormat="1" x14ac:dyDescent="0.45"/>
    <row r="282" s="1" customFormat="1" x14ac:dyDescent="0.45"/>
    <row r="283" s="1" customFormat="1" x14ac:dyDescent="0.45"/>
    <row r="284" s="1" customFormat="1" x14ac:dyDescent="0.45"/>
    <row r="285" s="1" customFormat="1" x14ac:dyDescent="0.45"/>
    <row r="286" s="1" customFormat="1" x14ac:dyDescent="0.45"/>
    <row r="287" s="1" customFormat="1" x14ac:dyDescent="0.45"/>
    <row r="288" s="1" customFormat="1" x14ac:dyDescent="0.45"/>
    <row r="289" s="1" customFormat="1" x14ac:dyDescent="0.45"/>
    <row r="290" s="1" customFormat="1" x14ac:dyDescent="0.45"/>
    <row r="291" s="1" customFormat="1" x14ac:dyDescent="0.45"/>
    <row r="292" s="1" customFormat="1" x14ac:dyDescent="0.45"/>
    <row r="293" s="1" customFormat="1" x14ac:dyDescent="0.45"/>
    <row r="294" s="1" customFormat="1" x14ac:dyDescent="0.45"/>
    <row r="295" s="1" customFormat="1" x14ac:dyDescent="0.45"/>
    <row r="296" s="1" customFormat="1" x14ac:dyDescent="0.45"/>
    <row r="297" s="1" customFormat="1" x14ac:dyDescent="0.45"/>
    <row r="298" s="1" customFormat="1" x14ac:dyDescent="0.45"/>
    <row r="299" s="1" customFormat="1" x14ac:dyDescent="0.45"/>
    <row r="300" s="1" customFormat="1" x14ac:dyDescent="0.45"/>
    <row r="301" s="1" customFormat="1" x14ac:dyDescent="0.45"/>
    <row r="302" s="1" customFormat="1" x14ac:dyDescent="0.45"/>
    <row r="303" s="1" customFormat="1" x14ac:dyDescent="0.45"/>
    <row r="304" s="1" customFormat="1" x14ac:dyDescent="0.45"/>
    <row r="305" s="1" customFormat="1" x14ac:dyDescent="0.45"/>
    <row r="306" s="1" customFormat="1" x14ac:dyDescent="0.45"/>
    <row r="307" s="1" customFormat="1" x14ac:dyDescent="0.45"/>
    <row r="308" s="1" customFormat="1" x14ac:dyDescent="0.45"/>
    <row r="309" s="1" customFormat="1" x14ac:dyDescent="0.45"/>
    <row r="310" s="1" customFormat="1" x14ac:dyDescent="0.45"/>
    <row r="311" s="1" customFormat="1" x14ac:dyDescent="0.45"/>
    <row r="312" s="1" customFormat="1" x14ac:dyDescent="0.45"/>
    <row r="313" s="1" customFormat="1" x14ac:dyDescent="0.45"/>
    <row r="314" s="1" customFormat="1" x14ac:dyDescent="0.45"/>
    <row r="315" s="1" customFormat="1" x14ac:dyDescent="0.45"/>
    <row r="316" s="1" customFormat="1" x14ac:dyDescent="0.45"/>
    <row r="317" s="1" customFormat="1" x14ac:dyDescent="0.45"/>
    <row r="318" s="1" customFormat="1" x14ac:dyDescent="0.45"/>
    <row r="319" s="1" customFormat="1" x14ac:dyDescent="0.45"/>
    <row r="320" s="1" customFormat="1" x14ac:dyDescent="0.45"/>
    <row r="321" s="1" customFormat="1" x14ac:dyDescent="0.45"/>
    <row r="322" s="1" customFormat="1" x14ac:dyDescent="0.45"/>
    <row r="323" s="1" customFormat="1" x14ac:dyDescent="0.45"/>
    <row r="324" s="1" customFormat="1" x14ac:dyDescent="0.45"/>
    <row r="325" s="1" customFormat="1" x14ac:dyDescent="0.45"/>
    <row r="326" s="1" customFormat="1" x14ac:dyDescent="0.45"/>
    <row r="327" s="1" customFormat="1" x14ac:dyDescent="0.45"/>
    <row r="328" s="1" customFormat="1" x14ac:dyDescent="0.45"/>
    <row r="329" s="1" customFormat="1" x14ac:dyDescent="0.45"/>
    <row r="330" s="1" customFormat="1" x14ac:dyDescent="0.45"/>
    <row r="331" s="1" customFormat="1" x14ac:dyDescent="0.45"/>
    <row r="332" s="1" customFormat="1" x14ac:dyDescent="0.45"/>
    <row r="333" s="1" customFormat="1" x14ac:dyDescent="0.45"/>
    <row r="334" s="1" customFormat="1" x14ac:dyDescent="0.45"/>
    <row r="335" s="1" customFormat="1" x14ac:dyDescent="0.45"/>
    <row r="336" s="1" customFormat="1" x14ac:dyDescent="0.45"/>
    <row r="337" s="1" customFormat="1" x14ac:dyDescent="0.45"/>
    <row r="338" s="1" customFormat="1" x14ac:dyDescent="0.45"/>
    <row r="339" s="1" customFormat="1" x14ac:dyDescent="0.45"/>
    <row r="340" s="1" customFormat="1" x14ac:dyDescent="0.45"/>
    <row r="341" s="1" customFormat="1" x14ac:dyDescent="0.45"/>
    <row r="342" s="1" customFormat="1" x14ac:dyDescent="0.45"/>
    <row r="343" s="1" customFormat="1" x14ac:dyDescent="0.45"/>
    <row r="344" s="1" customFormat="1" x14ac:dyDescent="0.45"/>
    <row r="345" s="1" customFormat="1" x14ac:dyDescent="0.45"/>
    <row r="346" s="1" customFormat="1" x14ac:dyDescent="0.45"/>
    <row r="347" s="1" customFormat="1" x14ac:dyDescent="0.45"/>
    <row r="348" s="1" customFormat="1" x14ac:dyDescent="0.45"/>
    <row r="349" s="1" customFormat="1" x14ac:dyDescent="0.45"/>
    <row r="350" s="1" customFormat="1" x14ac:dyDescent="0.45"/>
    <row r="351" s="1" customFormat="1" x14ac:dyDescent="0.45"/>
    <row r="352" s="1" customFormat="1" x14ac:dyDescent="0.45"/>
    <row r="353" s="1" customFormat="1" x14ac:dyDescent="0.45"/>
    <row r="354" s="1" customFormat="1" x14ac:dyDescent="0.45"/>
    <row r="355" s="1" customFormat="1" x14ac:dyDescent="0.45"/>
    <row r="356" s="1" customFormat="1" x14ac:dyDescent="0.45"/>
    <row r="357" s="1" customFormat="1" x14ac:dyDescent="0.45"/>
    <row r="358" s="1" customFormat="1" x14ac:dyDescent="0.45"/>
    <row r="359" s="1" customFormat="1" x14ac:dyDescent="0.45"/>
    <row r="360" s="1" customFormat="1" x14ac:dyDescent="0.45"/>
    <row r="361" s="1" customFormat="1" x14ac:dyDescent="0.45"/>
    <row r="362" s="1" customFormat="1" x14ac:dyDescent="0.45"/>
    <row r="363" s="1" customFormat="1" x14ac:dyDescent="0.45"/>
    <row r="364" s="1" customFormat="1" x14ac:dyDescent="0.45"/>
    <row r="365" s="1" customFormat="1" x14ac:dyDescent="0.45"/>
    <row r="366" s="1" customFormat="1" x14ac:dyDescent="0.45"/>
    <row r="367" s="1" customFormat="1" x14ac:dyDescent="0.45"/>
    <row r="368" s="1" customFormat="1" x14ac:dyDescent="0.45"/>
    <row r="369" s="1" customFormat="1" x14ac:dyDescent="0.45"/>
    <row r="370" s="1" customFormat="1" x14ac:dyDescent="0.45"/>
    <row r="371" s="1" customFormat="1" x14ac:dyDescent="0.45"/>
    <row r="372" s="1" customFormat="1" x14ac:dyDescent="0.45"/>
    <row r="373" s="1" customFormat="1" x14ac:dyDescent="0.45"/>
    <row r="374" s="1" customFormat="1" x14ac:dyDescent="0.45"/>
    <row r="375" s="1" customFormat="1" x14ac:dyDescent="0.45"/>
    <row r="376" s="1" customFormat="1" x14ac:dyDescent="0.45"/>
    <row r="377" s="1" customFormat="1" x14ac:dyDescent="0.45"/>
    <row r="378" s="1" customFormat="1" x14ac:dyDescent="0.45"/>
    <row r="379" s="1" customFormat="1" x14ac:dyDescent="0.45"/>
    <row r="380" s="1" customFormat="1" x14ac:dyDescent="0.45"/>
    <row r="381" s="1" customFormat="1" x14ac:dyDescent="0.45"/>
    <row r="382" s="1" customFormat="1" x14ac:dyDescent="0.45"/>
    <row r="383" s="1" customFormat="1" x14ac:dyDescent="0.45"/>
    <row r="384" s="1" customFormat="1" x14ac:dyDescent="0.45"/>
    <row r="385" s="1" customFormat="1" x14ac:dyDescent="0.45"/>
    <row r="386" s="1" customFormat="1" x14ac:dyDescent="0.45"/>
    <row r="387" s="1" customFormat="1" x14ac:dyDescent="0.45"/>
    <row r="388" s="1" customFormat="1" x14ac:dyDescent="0.45"/>
    <row r="389" s="1" customFormat="1" x14ac:dyDescent="0.45"/>
    <row r="390" s="1" customFormat="1" x14ac:dyDescent="0.45"/>
    <row r="391" s="1" customFormat="1" x14ac:dyDescent="0.45"/>
    <row r="392" s="1" customFormat="1" x14ac:dyDescent="0.45"/>
    <row r="393" s="1" customFormat="1" x14ac:dyDescent="0.45"/>
    <row r="394" s="1" customFormat="1" x14ac:dyDescent="0.45"/>
    <row r="395" s="1" customFormat="1" x14ac:dyDescent="0.45"/>
    <row r="396" s="1" customFormat="1" x14ac:dyDescent="0.45"/>
    <row r="397" s="1" customFormat="1" x14ac:dyDescent="0.45"/>
    <row r="398" s="1" customFormat="1" x14ac:dyDescent="0.45"/>
    <row r="399" s="1" customFormat="1" x14ac:dyDescent="0.45"/>
    <row r="400" s="1" customFormat="1" x14ac:dyDescent="0.45"/>
    <row r="401" s="1" customFormat="1" x14ac:dyDescent="0.45"/>
    <row r="402" s="1" customFormat="1" x14ac:dyDescent="0.45"/>
    <row r="403" s="1" customFormat="1" x14ac:dyDescent="0.45"/>
    <row r="404" s="1" customFormat="1" x14ac:dyDescent="0.45"/>
    <row r="405" s="1" customFormat="1" x14ac:dyDescent="0.45"/>
    <row r="406" s="1" customFormat="1" x14ac:dyDescent="0.45"/>
    <row r="407" s="1" customFormat="1" x14ac:dyDescent="0.45"/>
    <row r="408" s="1" customFormat="1" x14ac:dyDescent="0.45"/>
    <row r="409" s="1" customFormat="1" x14ac:dyDescent="0.45"/>
    <row r="410" s="1" customFormat="1" x14ac:dyDescent="0.45"/>
    <row r="411" s="1" customFormat="1" x14ac:dyDescent="0.45"/>
    <row r="412" s="1" customFormat="1" x14ac:dyDescent="0.45"/>
    <row r="413" s="1" customFormat="1" x14ac:dyDescent="0.45"/>
    <row r="414" s="1" customFormat="1" x14ac:dyDescent="0.45"/>
    <row r="415" s="1" customFormat="1" x14ac:dyDescent="0.45"/>
    <row r="416" s="1" customFormat="1" x14ac:dyDescent="0.45"/>
    <row r="417" s="1" customFormat="1" x14ac:dyDescent="0.45"/>
    <row r="418" s="1" customFormat="1" x14ac:dyDescent="0.45"/>
    <row r="419" s="1" customFormat="1" x14ac:dyDescent="0.45"/>
    <row r="420" s="1" customFormat="1" x14ac:dyDescent="0.45"/>
    <row r="421" s="1" customFormat="1" x14ac:dyDescent="0.45"/>
    <row r="422" s="1" customFormat="1" x14ac:dyDescent="0.45"/>
    <row r="423" s="1" customFormat="1" x14ac:dyDescent="0.45"/>
    <row r="424" s="1" customFormat="1" x14ac:dyDescent="0.45"/>
    <row r="425" s="1" customFormat="1" x14ac:dyDescent="0.45"/>
    <row r="426" s="1" customFormat="1" x14ac:dyDescent="0.45"/>
    <row r="427" s="1" customFormat="1" x14ac:dyDescent="0.45"/>
    <row r="428" s="1" customFormat="1" x14ac:dyDescent="0.45"/>
    <row r="429" s="1" customFormat="1" x14ac:dyDescent="0.45"/>
    <row r="430" s="1" customFormat="1" x14ac:dyDescent="0.45"/>
    <row r="431" s="1" customFormat="1" x14ac:dyDescent="0.45"/>
    <row r="432" s="1" customFormat="1" x14ac:dyDescent="0.45"/>
    <row r="433" s="1" customFormat="1" x14ac:dyDescent="0.45"/>
    <row r="434" s="1" customFormat="1" x14ac:dyDescent="0.45"/>
    <row r="435" s="1" customFormat="1" x14ac:dyDescent="0.45"/>
    <row r="436" s="1" customFormat="1" x14ac:dyDescent="0.45"/>
    <row r="437" s="1" customFormat="1" x14ac:dyDescent="0.45"/>
    <row r="438" s="1" customFormat="1" x14ac:dyDescent="0.45"/>
    <row r="439" s="1" customFormat="1" x14ac:dyDescent="0.45"/>
    <row r="440" s="1" customFormat="1" x14ac:dyDescent="0.45"/>
    <row r="441" s="1" customFormat="1" x14ac:dyDescent="0.45"/>
    <row r="442" s="1" customFormat="1" x14ac:dyDescent="0.45"/>
    <row r="443" s="1" customFormat="1" x14ac:dyDescent="0.45"/>
    <row r="444" s="1" customFormat="1" x14ac:dyDescent="0.45"/>
    <row r="445" s="1" customFormat="1" x14ac:dyDescent="0.45"/>
    <row r="446" s="1" customFormat="1" x14ac:dyDescent="0.45"/>
    <row r="447" s="1" customFormat="1" x14ac:dyDescent="0.45"/>
    <row r="448" s="1" customFormat="1" x14ac:dyDescent="0.45"/>
    <row r="449" s="1" customFormat="1" x14ac:dyDescent="0.45"/>
    <row r="450" s="1" customFormat="1" x14ac:dyDescent="0.45"/>
    <row r="451" s="1" customFormat="1" x14ac:dyDescent="0.45"/>
    <row r="452" s="1" customFormat="1" x14ac:dyDescent="0.45"/>
    <row r="453" s="1" customFormat="1" x14ac:dyDescent="0.45"/>
    <row r="454" s="1" customFormat="1" x14ac:dyDescent="0.45"/>
    <row r="455" s="1" customFormat="1" x14ac:dyDescent="0.45"/>
    <row r="456" s="1" customFormat="1" x14ac:dyDescent="0.45"/>
    <row r="457" s="1" customFormat="1" x14ac:dyDescent="0.45"/>
    <row r="458" s="1" customFormat="1" x14ac:dyDescent="0.45"/>
    <row r="459" s="1" customFormat="1" x14ac:dyDescent="0.45"/>
    <row r="460" s="1" customFormat="1" x14ac:dyDescent="0.45"/>
    <row r="461" s="1" customFormat="1" x14ac:dyDescent="0.45"/>
    <row r="462" s="1" customFormat="1" x14ac:dyDescent="0.45"/>
    <row r="463" s="1" customFormat="1" x14ac:dyDescent="0.45"/>
    <row r="464" s="1" customFormat="1" x14ac:dyDescent="0.45"/>
    <row r="465" s="1" customFormat="1" x14ac:dyDescent="0.45"/>
    <row r="466" s="1" customFormat="1" x14ac:dyDescent="0.45"/>
    <row r="467" s="1" customFormat="1" x14ac:dyDescent="0.45"/>
    <row r="468" s="1" customFormat="1" x14ac:dyDescent="0.45"/>
    <row r="469" s="1" customFormat="1" x14ac:dyDescent="0.45"/>
    <row r="470" s="1" customFormat="1" x14ac:dyDescent="0.45"/>
    <row r="471" s="1" customFormat="1" x14ac:dyDescent="0.45"/>
    <row r="472" s="1" customFormat="1" x14ac:dyDescent="0.45"/>
    <row r="473" s="1" customFormat="1" x14ac:dyDescent="0.45"/>
    <row r="474" s="1" customFormat="1" x14ac:dyDescent="0.45"/>
    <row r="475" s="1" customFormat="1" x14ac:dyDescent="0.45"/>
    <row r="476" s="1" customFormat="1" x14ac:dyDescent="0.45"/>
    <row r="477" s="1" customFormat="1" x14ac:dyDescent="0.45"/>
    <row r="478" s="1" customFormat="1" x14ac:dyDescent="0.45"/>
    <row r="479" s="1" customFormat="1" x14ac:dyDescent="0.45"/>
    <row r="480" s="1" customFormat="1" x14ac:dyDescent="0.45"/>
    <row r="481" s="1" customFormat="1" x14ac:dyDescent="0.45"/>
    <row r="482" s="1" customFormat="1" x14ac:dyDescent="0.45"/>
    <row r="483" s="1" customFormat="1" x14ac:dyDescent="0.45"/>
    <row r="484" s="1" customFormat="1" x14ac:dyDescent="0.45"/>
    <row r="485" s="1" customFormat="1" x14ac:dyDescent="0.45"/>
    <row r="486" s="1" customFormat="1" x14ac:dyDescent="0.45"/>
    <row r="487" s="1" customFormat="1" x14ac:dyDescent="0.45"/>
    <row r="488" s="1" customFormat="1" x14ac:dyDescent="0.45"/>
    <row r="489" s="1" customFormat="1" x14ac:dyDescent="0.45"/>
    <row r="490" s="1" customFormat="1" x14ac:dyDescent="0.45"/>
    <row r="491" s="1" customFormat="1" x14ac:dyDescent="0.45"/>
    <row r="492" s="1" customFormat="1" x14ac:dyDescent="0.45"/>
    <row r="493" s="1" customFormat="1" x14ac:dyDescent="0.45"/>
    <row r="494" s="1" customFormat="1" x14ac:dyDescent="0.45"/>
    <row r="495" s="1" customFormat="1" x14ac:dyDescent="0.45"/>
    <row r="496" s="1" customFormat="1" x14ac:dyDescent="0.45"/>
    <row r="497" s="1" customFormat="1" x14ac:dyDescent="0.45"/>
    <row r="498" s="1" customFormat="1" x14ac:dyDescent="0.45"/>
    <row r="499" s="1" customFormat="1" x14ac:dyDescent="0.45"/>
    <row r="500" s="1" customFormat="1" x14ac:dyDescent="0.45"/>
    <row r="501" s="1" customFormat="1" x14ac:dyDescent="0.45"/>
    <row r="502" s="1" customFormat="1" x14ac:dyDescent="0.45"/>
    <row r="503" s="1" customFormat="1" x14ac:dyDescent="0.45"/>
    <row r="504" s="1" customFormat="1" x14ac:dyDescent="0.45"/>
    <row r="505" s="1" customFormat="1" x14ac:dyDescent="0.45"/>
    <row r="506" s="1" customFormat="1" x14ac:dyDescent="0.45"/>
    <row r="507" s="1" customFormat="1" x14ac:dyDescent="0.45"/>
    <row r="508" s="1" customFormat="1" x14ac:dyDescent="0.45"/>
    <row r="509" s="1" customFormat="1" x14ac:dyDescent="0.45"/>
    <row r="510" s="1" customFormat="1" x14ac:dyDescent="0.45"/>
    <row r="511" s="1" customFormat="1" x14ac:dyDescent="0.45"/>
    <row r="512" s="1" customFormat="1" x14ac:dyDescent="0.45"/>
    <row r="513" s="1" customFormat="1" x14ac:dyDescent="0.45"/>
    <row r="514" s="1" customFormat="1" x14ac:dyDescent="0.45"/>
    <row r="515" s="1" customFormat="1" x14ac:dyDescent="0.45"/>
    <row r="516" s="1" customFormat="1" x14ac:dyDescent="0.45"/>
    <row r="517" s="1" customFormat="1" x14ac:dyDescent="0.45"/>
    <row r="518" s="1" customFormat="1" x14ac:dyDescent="0.45"/>
    <row r="519" s="1" customFormat="1" x14ac:dyDescent="0.45"/>
    <row r="520" s="1" customFormat="1" x14ac:dyDescent="0.45"/>
    <row r="521" s="1" customFormat="1" x14ac:dyDescent="0.45"/>
    <row r="522" s="1" customFormat="1" x14ac:dyDescent="0.45"/>
    <row r="523" s="1" customFormat="1" x14ac:dyDescent="0.45"/>
    <row r="524" s="1" customFormat="1" x14ac:dyDescent="0.45"/>
    <row r="525" s="1" customFormat="1" x14ac:dyDescent="0.45"/>
    <row r="526" s="1" customFormat="1" x14ac:dyDescent="0.45"/>
    <row r="527" s="1" customFormat="1" x14ac:dyDescent="0.45"/>
    <row r="528" s="1" customFormat="1" x14ac:dyDescent="0.45"/>
    <row r="529" s="1" customFormat="1" x14ac:dyDescent="0.45"/>
    <row r="530" s="1" customFormat="1" x14ac:dyDescent="0.45"/>
    <row r="531" s="1" customFormat="1" x14ac:dyDescent="0.45"/>
    <row r="532" s="1" customFormat="1" x14ac:dyDescent="0.45"/>
    <row r="533" s="1" customFormat="1" x14ac:dyDescent="0.45"/>
    <row r="534" s="1" customFormat="1" x14ac:dyDescent="0.45"/>
    <row r="535" s="1" customFormat="1" x14ac:dyDescent="0.45"/>
    <row r="536" s="1" customFormat="1" x14ac:dyDescent="0.45"/>
    <row r="537" s="1" customFormat="1" x14ac:dyDescent="0.45"/>
    <row r="538" s="1" customFormat="1" x14ac:dyDescent="0.45"/>
    <row r="539" s="1" customFormat="1" x14ac:dyDescent="0.45"/>
    <row r="540" s="1" customFormat="1" x14ac:dyDescent="0.45"/>
    <row r="541" s="1" customFormat="1" x14ac:dyDescent="0.45"/>
    <row r="542" s="1" customFormat="1" x14ac:dyDescent="0.45"/>
    <row r="543" s="1" customFormat="1" x14ac:dyDescent="0.45"/>
    <row r="544" s="1" customFormat="1" x14ac:dyDescent="0.45"/>
    <row r="545" s="1" customFormat="1" x14ac:dyDescent="0.45"/>
    <row r="546" s="1" customFormat="1" x14ac:dyDescent="0.45"/>
    <row r="547" s="1" customFormat="1" x14ac:dyDescent="0.45"/>
    <row r="548" s="1" customFormat="1" x14ac:dyDescent="0.45"/>
    <row r="549" s="1" customFormat="1" x14ac:dyDescent="0.45"/>
    <row r="550" s="1" customFormat="1" x14ac:dyDescent="0.45"/>
    <row r="551" s="1" customFormat="1" x14ac:dyDescent="0.45"/>
    <row r="552" s="1" customFormat="1" x14ac:dyDescent="0.45"/>
    <row r="553" s="1" customFormat="1" x14ac:dyDescent="0.45"/>
    <row r="554" s="1" customFormat="1" x14ac:dyDescent="0.45"/>
    <row r="555" s="1" customFormat="1" x14ac:dyDescent="0.45"/>
    <row r="556" s="1" customFormat="1" x14ac:dyDescent="0.45"/>
    <row r="557" s="1" customFormat="1" x14ac:dyDescent="0.45"/>
    <row r="558" s="1" customFormat="1" x14ac:dyDescent="0.45"/>
    <row r="559" s="1" customFormat="1" x14ac:dyDescent="0.45"/>
    <row r="560" s="1" customFormat="1" x14ac:dyDescent="0.45"/>
    <row r="561" s="1" customFormat="1" x14ac:dyDescent="0.45"/>
    <row r="562" s="1" customFormat="1" x14ac:dyDescent="0.45"/>
    <row r="563" s="1" customFormat="1" x14ac:dyDescent="0.45"/>
    <row r="564" s="1" customFormat="1" x14ac:dyDescent="0.45"/>
    <row r="565" s="1" customFormat="1" x14ac:dyDescent="0.45"/>
    <row r="566" s="1" customFormat="1" x14ac:dyDescent="0.45"/>
    <row r="567" s="1" customFormat="1" x14ac:dyDescent="0.45"/>
    <row r="568" s="1" customFormat="1" x14ac:dyDescent="0.45"/>
    <row r="569" s="1" customFormat="1" x14ac:dyDescent="0.45"/>
    <row r="570" s="1" customFormat="1" x14ac:dyDescent="0.45"/>
    <row r="571" s="1" customFormat="1" x14ac:dyDescent="0.45"/>
    <row r="572" s="1" customFormat="1" x14ac:dyDescent="0.45"/>
    <row r="573" s="1" customFormat="1" x14ac:dyDescent="0.45"/>
    <row r="574" s="1" customFormat="1" x14ac:dyDescent="0.45"/>
    <row r="575" s="1" customFormat="1" x14ac:dyDescent="0.45"/>
    <row r="576" s="1" customFormat="1" x14ac:dyDescent="0.45"/>
    <row r="577" s="1" customFormat="1" x14ac:dyDescent="0.45"/>
    <row r="578" s="1" customFormat="1" x14ac:dyDescent="0.45"/>
    <row r="579" s="1" customFormat="1" x14ac:dyDescent="0.45"/>
    <row r="580" s="1" customFormat="1" x14ac:dyDescent="0.45"/>
    <row r="581" s="1" customFormat="1" x14ac:dyDescent="0.45"/>
    <row r="582" s="1" customFormat="1" x14ac:dyDescent="0.45"/>
    <row r="583" s="1" customFormat="1" x14ac:dyDescent="0.45"/>
    <row r="584" s="1" customFormat="1" x14ac:dyDescent="0.45"/>
    <row r="585" s="1" customFormat="1" x14ac:dyDescent="0.45"/>
    <row r="586" s="1" customFormat="1" x14ac:dyDescent="0.45"/>
    <row r="587" s="1" customFormat="1" x14ac:dyDescent="0.45"/>
    <row r="588" s="1" customFormat="1" x14ac:dyDescent="0.45"/>
    <row r="589" s="1" customFormat="1" x14ac:dyDescent="0.45"/>
    <row r="590" s="1" customFormat="1" x14ac:dyDescent="0.45"/>
    <row r="591" s="1" customFormat="1" x14ac:dyDescent="0.45"/>
    <row r="592" s="1" customFormat="1" x14ac:dyDescent="0.45"/>
    <row r="593" s="1" customFormat="1" x14ac:dyDescent="0.45"/>
    <row r="594" s="1" customFormat="1" x14ac:dyDescent="0.45"/>
    <row r="595" s="1" customFormat="1" x14ac:dyDescent="0.45"/>
    <row r="596" s="1" customFormat="1" x14ac:dyDescent="0.45"/>
    <row r="597" s="1" customFormat="1" x14ac:dyDescent="0.45"/>
    <row r="598" s="1" customFormat="1" x14ac:dyDescent="0.45"/>
    <row r="599" s="1" customFormat="1" x14ac:dyDescent="0.45"/>
    <row r="600" s="1" customFormat="1" x14ac:dyDescent="0.45"/>
    <row r="601" s="1" customFormat="1" x14ac:dyDescent="0.45"/>
    <row r="602" s="1" customFormat="1" x14ac:dyDescent="0.45"/>
    <row r="603" s="1" customFormat="1" x14ac:dyDescent="0.45"/>
    <row r="604" s="1" customFormat="1" x14ac:dyDescent="0.45"/>
    <row r="605" s="1" customFormat="1" x14ac:dyDescent="0.45"/>
    <row r="606" s="1" customFormat="1" x14ac:dyDescent="0.45"/>
    <row r="607" s="1" customFormat="1" x14ac:dyDescent="0.45"/>
    <row r="608" s="1" customFormat="1" x14ac:dyDescent="0.45"/>
    <row r="609" s="1" customFormat="1" x14ac:dyDescent="0.45"/>
    <row r="610" s="1" customFormat="1" x14ac:dyDescent="0.45"/>
    <row r="611" s="1" customFormat="1" x14ac:dyDescent="0.45"/>
    <row r="612" s="1" customFormat="1" x14ac:dyDescent="0.45"/>
    <row r="613" s="1" customFormat="1" x14ac:dyDescent="0.45"/>
    <row r="614" s="1" customFormat="1" x14ac:dyDescent="0.45"/>
    <row r="615" s="1" customFormat="1" x14ac:dyDescent="0.45"/>
    <row r="616" s="1" customFormat="1" x14ac:dyDescent="0.45"/>
    <row r="617" s="1" customFormat="1" x14ac:dyDescent="0.45"/>
    <row r="618" s="1" customFormat="1" x14ac:dyDescent="0.45"/>
    <row r="619" s="1" customFormat="1" x14ac:dyDescent="0.45"/>
    <row r="620" s="1" customFormat="1" x14ac:dyDescent="0.45"/>
    <row r="621" s="1" customFormat="1" x14ac:dyDescent="0.45"/>
    <row r="622" s="1" customFormat="1" x14ac:dyDescent="0.45"/>
    <row r="623" s="1" customFormat="1" x14ac:dyDescent="0.45"/>
    <row r="624" s="1" customFormat="1" x14ac:dyDescent="0.45"/>
    <row r="625" s="1" customFormat="1" x14ac:dyDescent="0.45"/>
    <row r="626" s="1" customFormat="1" x14ac:dyDescent="0.45"/>
    <row r="627" s="1" customFormat="1" x14ac:dyDescent="0.45"/>
    <row r="628" s="1" customFormat="1" x14ac:dyDescent="0.45"/>
    <row r="629" s="1" customFormat="1" x14ac:dyDescent="0.45"/>
    <row r="630" s="1" customFormat="1" x14ac:dyDescent="0.45"/>
    <row r="631" s="1" customFormat="1" x14ac:dyDescent="0.45"/>
    <row r="632" s="1" customFormat="1" x14ac:dyDescent="0.45"/>
    <row r="633" s="1" customFormat="1" x14ac:dyDescent="0.45"/>
    <row r="634" s="1" customFormat="1" x14ac:dyDescent="0.45"/>
    <row r="635" s="1" customFormat="1" x14ac:dyDescent="0.45"/>
    <row r="636" s="1" customFormat="1" x14ac:dyDescent="0.45"/>
    <row r="637" s="1" customFormat="1" x14ac:dyDescent="0.45"/>
    <row r="638" s="1" customFormat="1" x14ac:dyDescent="0.45"/>
    <row r="639" s="1" customFormat="1" x14ac:dyDescent="0.45"/>
    <row r="640" s="1" customFormat="1" x14ac:dyDescent="0.45"/>
    <row r="641" s="1" customFormat="1" x14ac:dyDescent="0.45"/>
    <row r="642" s="1" customFormat="1" x14ac:dyDescent="0.45"/>
    <row r="643" s="1" customFormat="1" x14ac:dyDescent="0.45"/>
    <row r="644" s="1" customFormat="1" x14ac:dyDescent="0.45"/>
    <row r="645" s="1" customFormat="1" x14ac:dyDescent="0.45"/>
    <row r="646" s="1" customFormat="1" x14ac:dyDescent="0.45"/>
    <row r="647" s="1" customFormat="1" x14ac:dyDescent="0.45"/>
    <row r="648" s="1" customFormat="1" x14ac:dyDescent="0.45"/>
    <row r="649" s="1" customFormat="1" x14ac:dyDescent="0.45"/>
    <row r="650" s="1" customFormat="1" x14ac:dyDescent="0.45"/>
    <row r="651" s="1" customFormat="1" x14ac:dyDescent="0.45"/>
    <row r="652" s="1" customFormat="1" x14ac:dyDescent="0.45"/>
    <row r="653" s="1" customFormat="1" x14ac:dyDescent="0.45"/>
    <row r="654" s="1" customFormat="1" x14ac:dyDescent="0.45"/>
    <row r="655" s="1" customFormat="1" x14ac:dyDescent="0.45"/>
    <row r="656" s="1" customFormat="1" x14ac:dyDescent="0.45"/>
    <row r="657" s="1" customFormat="1" x14ac:dyDescent="0.45"/>
    <row r="658" s="1" customFormat="1" x14ac:dyDescent="0.45"/>
    <row r="659" s="1" customFormat="1" x14ac:dyDescent="0.45"/>
    <row r="660" s="1" customFormat="1" x14ac:dyDescent="0.45"/>
    <row r="661" s="1" customFormat="1" x14ac:dyDescent="0.45"/>
    <row r="662" s="1" customFormat="1" x14ac:dyDescent="0.45"/>
    <row r="663" s="1" customFormat="1" x14ac:dyDescent="0.45"/>
    <row r="664" s="1" customFormat="1" x14ac:dyDescent="0.45"/>
    <row r="665" s="1" customFormat="1" x14ac:dyDescent="0.45"/>
    <row r="666" s="1" customFormat="1" x14ac:dyDescent="0.45"/>
    <row r="667" s="1" customFormat="1" x14ac:dyDescent="0.45"/>
    <row r="668" s="1" customFormat="1" x14ac:dyDescent="0.45"/>
    <row r="669" s="1" customFormat="1" x14ac:dyDescent="0.45"/>
    <row r="670" s="1" customFormat="1" x14ac:dyDescent="0.45"/>
    <row r="671" s="1" customFormat="1" x14ac:dyDescent="0.45"/>
    <row r="672" s="1" customFormat="1" x14ac:dyDescent="0.45"/>
    <row r="673" s="1" customFormat="1" x14ac:dyDescent="0.45"/>
    <row r="674" s="1" customFormat="1" x14ac:dyDescent="0.45"/>
    <row r="675" s="1" customFormat="1" x14ac:dyDescent="0.45"/>
    <row r="676" s="1" customFormat="1" x14ac:dyDescent="0.45"/>
    <row r="677" s="1" customFormat="1" x14ac:dyDescent="0.45"/>
    <row r="678" s="1" customFormat="1" x14ac:dyDescent="0.45"/>
    <row r="679" s="1" customFormat="1" x14ac:dyDescent="0.45"/>
    <row r="680" s="1" customFormat="1" x14ac:dyDescent="0.45"/>
    <row r="681" s="1" customFormat="1" x14ac:dyDescent="0.45"/>
    <row r="682" s="1" customFormat="1" x14ac:dyDescent="0.45"/>
    <row r="683" s="1" customFormat="1" x14ac:dyDescent="0.45"/>
    <row r="684" s="1" customFormat="1" x14ac:dyDescent="0.45"/>
    <row r="685" s="1" customFormat="1" x14ac:dyDescent="0.45"/>
    <row r="686" s="1" customFormat="1" x14ac:dyDescent="0.45"/>
    <row r="687" s="1" customFormat="1" x14ac:dyDescent="0.45"/>
    <row r="688" s="1" customFormat="1" x14ac:dyDescent="0.45"/>
    <row r="689" s="1" customFormat="1" x14ac:dyDescent="0.45"/>
    <row r="690" s="1" customFormat="1" x14ac:dyDescent="0.45"/>
    <row r="691" s="1" customFormat="1" x14ac:dyDescent="0.45"/>
    <row r="692" s="1" customFormat="1" x14ac:dyDescent="0.45"/>
    <row r="693" s="1" customFormat="1" x14ac:dyDescent="0.45"/>
    <row r="694" s="1" customFormat="1" x14ac:dyDescent="0.45"/>
    <row r="695" s="1" customFormat="1" x14ac:dyDescent="0.45"/>
    <row r="696" s="1" customFormat="1" x14ac:dyDescent="0.45"/>
    <row r="697" s="1" customFormat="1" x14ac:dyDescent="0.45"/>
    <row r="698" s="1" customFormat="1" x14ac:dyDescent="0.45"/>
    <row r="699" s="1" customFormat="1" x14ac:dyDescent="0.45"/>
    <row r="700" s="1" customFormat="1" x14ac:dyDescent="0.45"/>
    <row r="701" s="1" customFormat="1" x14ac:dyDescent="0.45"/>
    <row r="702" s="1" customFormat="1" x14ac:dyDescent="0.45"/>
    <row r="703" s="1" customFormat="1" x14ac:dyDescent="0.45"/>
    <row r="704" s="1" customFormat="1" x14ac:dyDescent="0.45"/>
    <row r="705" s="1" customFormat="1" x14ac:dyDescent="0.45"/>
    <row r="706" s="1" customFormat="1" x14ac:dyDescent="0.45"/>
    <row r="707" s="1" customFormat="1" x14ac:dyDescent="0.45"/>
    <row r="708" s="1" customFormat="1" x14ac:dyDescent="0.45"/>
    <row r="709" s="1" customFormat="1" x14ac:dyDescent="0.45"/>
    <row r="710" s="1" customFormat="1" x14ac:dyDescent="0.45"/>
    <row r="711" s="1" customFormat="1" x14ac:dyDescent="0.45"/>
    <row r="712" s="1" customFormat="1" x14ac:dyDescent="0.45"/>
    <row r="713" s="1" customFormat="1" x14ac:dyDescent="0.45"/>
    <row r="714" s="1" customFormat="1" x14ac:dyDescent="0.45"/>
    <row r="715" s="1" customFormat="1" x14ac:dyDescent="0.45"/>
    <row r="716" s="1" customFormat="1" x14ac:dyDescent="0.45"/>
    <row r="717" s="1" customFormat="1" x14ac:dyDescent="0.45"/>
    <row r="718" s="1" customFormat="1" x14ac:dyDescent="0.45"/>
    <row r="719" s="1" customFormat="1" x14ac:dyDescent="0.45"/>
    <row r="720" s="1" customFormat="1" x14ac:dyDescent="0.45"/>
    <row r="721" s="1" customFormat="1" x14ac:dyDescent="0.45"/>
    <row r="722" s="1" customFormat="1" x14ac:dyDescent="0.45"/>
    <row r="723" s="1" customFormat="1" x14ac:dyDescent="0.45"/>
    <row r="724" s="1" customFormat="1" x14ac:dyDescent="0.45"/>
    <row r="725" s="1" customFormat="1" x14ac:dyDescent="0.45"/>
    <row r="726" s="1" customFormat="1" x14ac:dyDescent="0.45"/>
    <row r="727" s="1" customFormat="1" x14ac:dyDescent="0.45"/>
    <row r="728" s="1" customFormat="1" x14ac:dyDescent="0.45"/>
    <row r="729" s="1" customFormat="1" x14ac:dyDescent="0.45"/>
    <row r="730" s="1" customFormat="1" x14ac:dyDescent="0.45"/>
    <row r="731" s="1" customFormat="1" x14ac:dyDescent="0.45"/>
    <row r="732" s="1" customFormat="1" x14ac:dyDescent="0.45"/>
    <row r="733" s="1" customFormat="1" x14ac:dyDescent="0.45"/>
    <row r="734" s="1" customFormat="1" x14ac:dyDescent="0.45"/>
    <row r="735" s="1" customFormat="1" x14ac:dyDescent="0.45"/>
    <row r="736" s="1" customFormat="1" x14ac:dyDescent="0.45"/>
    <row r="737" s="1" customFormat="1" x14ac:dyDescent="0.45"/>
    <row r="738" s="1" customFormat="1" x14ac:dyDescent="0.45"/>
    <row r="739" s="1" customFormat="1" x14ac:dyDescent="0.45"/>
    <row r="740" s="1" customFormat="1" x14ac:dyDescent="0.45"/>
    <row r="741" s="1" customFormat="1" x14ac:dyDescent="0.45"/>
    <row r="742" s="1" customFormat="1" x14ac:dyDescent="0.45"/>
    <row r="743" s="1" customFormat="1" x14ac:dyDescent="0.45"/>
    <row r="744" s="1" customFormat="1" x14ac:dyDescent="0.45"/>
    <row r="745" s="1" customFormat="1" x14ac:dyDescent="0.45"/>
    <row r="746" s="1" customFormat="1" x14ac:dyDescent="0.45"/>
    <row r="747" s="1" customFormat="1" x14ac:dyDescent="0.45"/>
    <row r="748" s="1" customFormat="1" x14ac:dyDescent="0.45"/>
    <row r="749" s="1" customFormat="1" x14ac:dyDescent="0.45"/>
    <row r="750" s="1" customFormat="1" x14ac:dyDescent="0.45"/>
    <row r="751" s="1" customFormat="1" x14ac:dyDescent="0.45"/>
    <row r="752" s="1" customFormat="1" x14ac:dyDescent="0.45"/>
    <row r="753" s="1" customFormat="1" x14ac:dyDescent="0.45"/>
    <row r="754" s="1" customFormat="1" x14ac:dyDescent="0.45"/>
    <row r="755" s="1" customFormat="1" x14ac:dyDescent="0.45"/>
    <row r="756" s="1" customFormat="1" x14ac:dyDescent="0.45"/>
    <row r="757" s="1" customFormat="1" x14ac:dyDescent="0.45"/>
    <row r="758" s="1" customFormat="1" x14ac:dyDescent="0.45"/>
    <row r="759" s="1" customFormat="1" x14ac:dyDescent="0.45"/>
    <row r="760" s="1" customFormat="1" x14ac:dyDescent="0.45"/>
    <row r="761" s="1" customFormat="1" x14ac:dyDescent="0.45"/>
    <row r="762" s="1" customFormat="1" x14ac:dyDescent="0.45"/>
    <row r="763" s="1" customFormat="1" x14ac:dyDescent="0.45"/>
    <row r="764" s="1" customFormat="1" x14ac:dyDescent="0.45"/>
    <row r="765" s="1" customFormat="1" x14ac:dyDescent="0.45"/>
    <row r="766" s="1" customFormat="1" x14ac:dyDescent="0.45"/>
    <row r="767" s="1" customFormat="1" x14ac:dyDescent="0.45"/>
    <row r="768" s="1" customFormat="1" x14ac:dyDescent="0.45"/>
    <row r="769" s="1" customFormat="1" x14ac:dyDescent="0.45"/>
    <row r="770" s="1" customFormat="1" x14ac:dyDescent="0.45"/>
    <row r="771" s="1" customFormat="1" x14ac:dyDescent="0.45"/>
    <row r="772" s="1" customFormat="1" x14ac:dyDescent="0.45"/>
    <row r="773" s="1" customFormat="1" x14ac:dyDescent="0.45"/>
    <row r="774" s="1" customFormat="1" x14ac:dyDescent="0.45"/>
    <row r="775" s="1" customFormat="1" x14ac:dyDescent="0.45"/>
    <row r="776" s="1" customFormat="1" x14ac:dyDescent="0.45"/>
    <row r="777" s="1" customFormat="1" x14ac:dyDescent="0.45"/>
    <row r="778" s="1" customFormat="1" x14ac:dyDescent="0.45"/>
    <row r="779" s="1" customFormat="1" x14ac:dyDescent="0.45"/>
    <row r="780" s="1" customFormat="1" x14ac:dyDescent="0.45"/>
    <row r="781" s="1" customFormat="1" x14ac:dyDescent="0.45"/>
    <row r="782" s="1" customFormat="1" x14ac:dyDescent="0.45"/>
    <row r="783" s="1" customFormat="1" x14ac:dyDescent="0.45"/>
    <row r="784" s="1" customFormat="1" x14ac:dyDescent="0.45"/>
    <row r="785" s="1" customFormat="1" x14ac:dyDescent="0.45"/>
    <row r="786" s="1" customFormat="1" x14ac:dyDescent="0.45"/>
    <row r="787" s="1" customFormat="1" x14ac:dyDescent="0.45"/>
    <row r="788" s="1" customFormat="1" x14ac:dyDescent="0.45"/>
    <row r="789" s="1" customFormat="1" x14ac:dyDescent="0.45"/>
    <row r="790" s="1" customFormat="1" x14ac:dyDescent="0.45"/>
    <row r="791" s="1" customFormat="1" x14ac:dyDescent="0.45"/>
    <row r="792" s="1" customFormat="1" x14ac:dyDescent="0.45"/>
    <row r="793" s="1" customFormat="1" x14ac:dyDescent="0.45"/>
    <row r="794" s="1" customFormat="1" x14ac:dyDescent="0.45"/>
    <row r="795" s="1" customFormat="1" x14ac:dyDescent="0.45"/>
    <row r="796" s="1" customFormat="1" x14ac:dyDescent="0.45"/>
    <row r="797" s="1" customFormat="1" x14ac:dyDescent="0.45"/>
    <row r="798" s="1" customFormat="1" x14ac:dyDescent="0.45"/>
    <row r="799" s="1" customFormat="1" x14ac:dyDescent="0.45"/>
    <row r="800" s="1" customFormat="1" x14ac:dyDescent="0.45"/>
    <row r="801" s="1" customFormat="1" x14ac:dyDescent="0.45"/>
    <row r="802" s="1" customFormat="1" x14ac:dyDescent="0.45"/>
    <row r="803" s="1" customFormat="1" x14ac:dyDescent="0.45"/>
    <row r="804" s="1" customFormat="1" x14ac:dyDescent="0.45"/>
    <row r="805" s="1" customFormat="1" x14ac:dyDescent="0.45"/>
    <row r="806" s="1" customFormat="1" x14ac:dyDescent="0.45"/>
    <row r="807" s="1" customFormat="1" x14ac:dyDescent="0.45"/>
    <row r="808" s="1" customFormat="1" x14ac:dyDescent="0.45"/>
    <row r="809" s="1" customFormat="1" x14ac:dyDescent="0.45"/>
    <row r="810" s="1" customFormat="1" x14ac:dyDescent="0.45"/>
    <row r="811" s="1" customFormat="1" x14ac:dyDescent="0.45"/>
    <row r="812" s="1" customFormat="1" x14ac:dyDescent="0.45"/>
    <row r="813" s="1" customFormat="1" x14ac:dyDescent="0.45"/>
    <row r="814" s="1" customFormat="1" x14ac:dyDescent="0.45"/>
    <row r="815" s="1" customFormat="1" x14ac:dyDescent="0.45"/>
    <row r="816" s="1" customFormat="1" x14ac:dyDescent="0.45"/>
    <row r="817" s="1" customFormat="1" x14ac:dyDescent="0.45"/>
    <row r="818" s="1" customFormat="1" x14ac:dyDescent="0.45"/>
    <row r="819" s="1" customFormat="1" x14ac:dyDescent="0.45"/>
    <row r="820" s="1" customFormat="1" x14ac:dyDescent="0.45"/>
    <row r="821" s="1" customFormat="1" x14ac:dyDescent="0.45"/>
    <row r="822" s="1" customFormat="1" x14ac:dyDescent="0.45"/>
    <row r="823" s="1" customFormat="1" x14ac:dyDescent="0.45"/>
    <row r="824" s="1" customFormat="1" x14ac:dyDescent="0.45"/>
    <row r="825" s="1" customFormat="1" x14ac:dyDescent="0.45"/>
    <row r="826" s="1" customFormat="1" x14ac:dyDescent="0.45"/>
    <row r="827" s="1" customFormat="1" x14ac:dyDescent="0.45"/>
    <row r="828" s="1" customFormat="1" x14ac:dyDescent="0.45"/>
    <row r="829" s="1" customFormat="1" x14ac:dyDescent="0.45"/>
    <row r="830" s="1" customFormat="1" x14ac:dyDescent="0.45"/>
    <row r="831" s="1" customFormat="1" x14ac:dyDescent="0.45"/>
    <row r="832" s="1" customFormat="1" x14ac:dyDescent="0.45"/>
    <row r="833" s="1" customFormat="1" x14ac:dyDescent="0.45"/>
    <row r="834" s="1" customFormat="1" x14ac:dyDescent="0.45"/>
    <row r="835" s="1" customFormat="1" x14ac:dyDescent="0.45"/>
    <row r="836" s="1" customFormat="1" x14ac:dyDescent="0.45"/>
    <row r="837" s="1" customFormat="1" x14ac:dyDescent="0.45"/>
    <row r="838" s="1" customFormat="1" x14ac:dyDescent="0.45"/>
    <row r="839" s="1" customFormat="1" x14ac:dyDescent="0.45"/>
    <row r="840" s="1" customFormat="1" x14ac:dyDescent="0.45"/>
    <row r="841" s="1" customFormat="1" x14ac:dyDescent="0.45"/>
    <row r="842" s="1" customFormat="1" x14ac:dyDescent="0.45"/>
    <row r="843" s="1" customFormat="1" x14ac:dyDescent="0.45"/>
    <row r="844" s="1" customFormat="1" x14ac:dyDescent="0.45"/>
    <row r="845" s="1" customFormat="1" x14ac:dyDescent="0.45"/>
    <row r="846" s="1" customFormat="1" x14ac:dyDescent="0.45"/>
    <row r="847" s="1" customFormat="1" x14ac:dyDescent="0.45"/>
    <row r="848" s="1" customFormat="1" x14ac:dyDescent="0.45"/>
    <row r="849" s="1" customFormat="1" x14ac:dyDescent="0.45"/>
    <row r="850" s="1" customFormat="1" x14ac:dyDescent="0.45"/>
    <row r="851" s="1" customFormat="1" x14ac:dyDescent="0.45"/>
    <row r="852" s="1" customFormat="1" x14ac:dyDescent="0.45"/>
    <row r="853" s="1" customFormat="1" x14ac:dyDescent="0.45"/>
    <row r="854" s="1" customFormat="1" x14ac:dyDescent="0.45"/>
    <row r="855" s="1" customFormat="1" x14ac:dyDescent="0.45"/>
    <row r="856" s="1" customFormat="1" x14ac:dyDescent="0.45"/>
    <row r="857" s="1" customFormat="1" x14ac:dyDescent="0.45"/>
    <row r="858" s="1" customFormat="1" x14ac:dyDescent="0.45"/>
    <row r="859" s="1" customFormat="1" x14ac:dyDescent="0.45"/>
    <row r="860" s="1" customFormat="1" x14ac:dyDescent="0.45"/>
    <row r="861" s="1" customFormat="1" x14ac:dyDescent="0.45"/>
    <row r="862" s="1" customFormat="1" x14ac:dyDescent="0.45"/>
    <row r="863" s="1" customFormat="1" x14ac:dyDescent="0.45"/>
    <row r="864" s="1" customFormat="1" x14ac:dyDescent="0.45"/>
    <row r="865" s="1" customFormat="1" x14ac:dyDescent="0.45"/>
    <row r="866" s="1" customFormat="1" x14ac:dyDescent="0.45"/>
    <row r="867" s="1" customFormat="1" x14ac:dyDescent="0.45"/>
    <row r="868" s="1" customFormat="1" x14ac:dyDescent="0.45"/>
    <row r="869" s="1" customFormat="1" x14ac:dyDescent="0.45"/>
    <row r="870" s="1" customFormat="1" x14ac:dyDescent="0.45"/>
    <row r="871" s="1" customFormat="1" x14ac:dyDescent="0.45"/>
    <row r="872" s="1" customFormat="1" x14ac:dyDescent="0.45"/>
    <row r="873" s="1" customFormat="1" x14ac:dyDescent="0.45"/>
    <row r="874" s="1" customFormat="1" x14ac:dyDescent="0.45"/>
    <row r="875" s="1" customFormat="1" x14ac:dyDescent="0.45"/>
    <row r="876" s="1" customFormat="1" x14ac:dyDescent="0.45"/>
    <row r="877" s="1" customFormat="1" x14ac:dyDescent="0.45"/>
    <row r="878" s="1" customFormat="1" x14ac:dyDescent="0.45"/>
    <row r="879" s="1" customFormat="1" x14ac:dyDescent="0.45"/>
    <row r="880" s="1" customFormat="1" x14ac:dyDescent="0.45"/>
    <row r="881" s="1" customFormat="1" x14ac:dyDescent="0.45"/>
    <row r="882" s="1" customFormat="1" x14ac:dyDescent="0.45"/>
    <row r="883" s="1" customFormat="1" x14ac:dyDescent="0.45"/>
    <row r="884" s="1" customFormat="1" x14ac:dyDescent="0.45"/>
    <row r="885" s="1" customFormat="1" x14ac:dyDescent="0.45"/>
    <row r="886" s="1" customFormat="1" x14ac:dyDescent="0.45"/>
    <row r="887" s="1" customFormat="1" x14ac:dyDescent="0.45"/>
    <row r="888" s="1" customFormat="1" x14ac:dyDescent="0.45"/>
    <row r="889" s="1" customFormat="1" x14ac:dyDescent="0.45"/>
    <row r="890" s="1" customFormat="1" x14ac:dyDescent="0.45"/>
    <row r="891" s="1" customFormat="1" x14ac:dyDescent="0.45"/>
    <row r="892" s="1" customFormat="1" x14ac:dyDescent="0.45"/>
    <row r="893" s="1" customFormat="1" x14ac:dyDescent="0.45"/>
    <row r="894" s="1" customFormat="1" x14ac:dyDescent="0.45"/>
    <row r="895" s="1" customFormat="1" x14ac:dyDescent="0.45"/>
    <row r="896" s="1" customFormat="1" x14ac:dyDescent="0.45"/>
    <row r="897" s="1" customFormat="1" x14ac:dyDescent="0.45"/>
    <row r="898" s="1" customFormat="1" x14ac:dyDescent="0.45"/>
    <row r="899" s="1" customFormat="1" x14ac:dyDescent="0.45"/>
    <row r="900" s="1" customFormat="1" x14ac:dyDescent="0.45"/>
    <row r="901" s="1" customFormat="1" x14ac:dyDescent="0.45"/>
    <row r="902" s="1" customFormat="1" x14ac:dyDescent="0.45"/>
    <row r="903" s="1" customFormat="1" x14ac:dyDescent="0.45"/>
    <row r="904" s="1" customFormat="1" x14ac:dyDescent="0.45"/>
    <row r="905" s="1" customFormat="1" x14ac:dyDescent="0.45"/>
    <row r="906" s="1" customFormat="1" x14ac:dyDescent="0.45"/>
    <row r="907" s="1" customFormat="1" x14ac:dyDescent="0.45"/>
    <row r="908" s="1" customFormat="1" x14ac:dyDescent="0.45"/>
    <row r="909" s="1" customFormat="1" x14ac:dyDescent="0.45"/>
    <row r="910" s="1" customFormat="1" x14ac:dyDescent="0.45"/>
    <row r="911" s="1" customFormat="1" x14ac:dyDescent="0.45"/>
    <row r="912" s="1" customFormat="1" x14ac:dyDescent="0.45"/>
    <row r="913" s="1" customFormat="1" x14ac:dyDescent="0.45"/>
    <row r="914" s="1" customFormat="1" x14ac:dyDescent="0.45"/>
    <row r="915" s="1" customFormat="1" x14ac:dyDescent="0.45"/>
    <row r="916" s="1" customFormat="1" x14ac:dyDescent="0.45"/>
    <row r="917" s="1" customFormat="1" x14ac:dyDescent="0.45"/>
    <row r="918" s="1" customFormat="1" x14ac:dyDescent="0.45"/>
    <row r="919" s="1" customFormat="1" x14ac:dyDescent="0.45"/>
    <row r="920" s="1" customFormat="1" x14ac:dyDescent="0.45"/>
    <row r="921" s="1" customFormat="1" x14ac:dyDescent="0.45"/>
    <row r="922" s="1" customFormat="1" x14ac:dyDescent="0.45"/>
    <row r="923" s="1" customFormat="1" x14ac:dyDescent="0.45"/>
    <row r="924" s="1" customFormat="1" x14ac:dyDescent="0.45"/>
    <row r="925" s="1" customFormat="1" x14ac:dyDescent="0.45"/>
    <row r="926" s="1" customFormat="1" x14ac:dyDescent="0.45"/>
    <row r="927" s="1" customFormat="1" x14ac:dyDescent="0.45"/>
    <row r="928" s="1" customFormat="1" x14ac:dyDescent="0.45"/>
    <row r="929" s="1" customFormat="1" x14ac:dyDescent="0.45"/>
    <row r="930" s="1" customFormat="1" x14ac:dyDescent="0.45"/>
    <row r="931" s="1" customFormat="1" x14ac:dyDescent="0.45"/>
    <row r="932" s="1" customFormat="1" x14ac:dyDescent="0.45"/>
    <row r="933" s="1" customFormat="1" x14ac:dyDescent="0.45"/>
    <row r="934" s="1" customFormat="1" x14ac:dyDescent="0.45"/>
    <row r="935" s="1" customFormat="1" x14ac:dyDescent="0.45"/>
    <row r="936" s="1" customFormat="1" x14ac:dyDescent="0.45"/>
    <row r="937" s="1" customFormat="1" x14ac:dyDescent="0.45"/>
    <row r="938" s="1" customFormat="1" x14ac:dyDescent="0.45"/>
    <row r="939" s="1" customFormat="1" x14ac:dyDescent="0.45"/>
    <row r="940" s="1" customFormat="1" x14ac:dyDescent="0.45"/>
    <row r="941" s="1" customFormat="1" x14ac:dyDescent="0.45"/>
    <row r="942" s="1" customFormat="1" x14ac:dyDescent="0.45"/>
    <row r="943" s="1" customFormat="1" x14ac:dyDescent="0.45"/>
    <row r="944" s="1" customFormat="1" x14ac:dyDescent="0.45"/>
    <row r="945" s="1" customFormat="1" x14ac:dyDescent="0.45"/>
    <row r="946" s="1" customFormat="1" x14ac:dyDescent="0.45"/>
    <row r="947" s="1" customFormat="1" x14ac:dyDescent="0.45"/>
    <row r="948" s="1" customFormat="1" x14ac:dyDescent="0.45"/>
    <row r="949" s="1" customFormat="1" x14ac:dyDescent="0.45"/>
    <row r="950" s="1" customFormat="1" x14ac:dyDescent="0.45"/>
    <row r="951" s="1" customFormat="1" x14ac:dyDescent="0.45"/>
    <row r="952" s="1" customFormat="1" x14ac:dyDescent="0.45"/>
    <row r="953" s="1" customFormat="1" x14ac:dyDescent="0.45"/>
    <row r="954" s="1" customFormat="1" x14ac:dyDescent="0.45"/>
    <row r="955" s="1" customFormat="1" x14ac:dyDescent="0.45"/>
    <row r="956" s="1" customFormat="1" x14ac:dyDescent="0.45"/>
    <row r="957" s="1" customFormat="1" x14ac:dyDescent="0.45"/>
    <row r="958" s="1" customFormat="1" x14ac:dyDescent="0.45"/>
    <row r="959" s="1" customFormat="1" x14ac:dyDescent="0.45"/>
    <row r="960" s="1" customFormat="1" x14ac:dyDescent="0.45"/>
    <row r="961" s="1" customFormat="1" x14ac:dyDescent="0.45"/>
    <row r="962" s="1" customFormat="1" x14ac:dyDescent="0.45"/>
    <row r="963" s="1" customFormat="1" x14ac:dyDescent="0.45"/>
    <row r="964" s="1" customFormat="1" x14ac:dyDescent="0.45"/>
    <row r="965" s="1" customFormat="1" x14ac:dyDescent="0.45"/>
    <row r="966" s="1" customFormat="1" x14ac:dyDescent="0.45"/>
    <row r="967" s="1" customFormat="1" x14ac:dyDescent="0.45"/>
    <row r="968" s="1" customFormat="1" x14ac:dyDescent="0.45"/>
    <row r="969" s="1" customFormat="1" x14ac:dyDescent="0.45"/>
    <row r="970" s="1" customFormat="1" x14ac:dyDescent="0.45"/>
    <row r="971" s="1" customFormat="1" x14ac:dyDescent="0.45"/>
    <row r="972" s="1" customFormat="1" x14ac:dyDescent="0.45"/>
    <row r="973" s="1" customFormat="1" x14ac:dyDescent="0.45"/>
    <row r="974" s="1" customFormat="1" x14ac:dyDescent="0.45"/>
    <row r="975" s="1" customFormat="1" x14ac:dyDescent="0.45"/>
    <row r="976" s="1" customFormat="1" x14ac:dyDescent="0.45"/>
    <row r="977" s="1" customFormat="1" x14ac:dyDescent="0.45"/>
    <row r="978" s="1" customFormat="1" x14ac:dyDescent="0.45"/>
    <row r="979" s="1" customFormat="1" x14ac:dyDescent="0.45"/>
    <row r="980" s="1" customFormat="1" x14ac:dyDescent="0.45"/>
    <row r="981" s="1" customFormat="1" x14ac:dyDescent="0.45"/>
    <row r="982" s="1" customFormat="1" x14ac:dyDescent="0.45"/>
    <row r="983" s="1" customFormat="1" x14ac:dyDescent="0.45"/>
    <row r="984" s="1" customFormat="1" x14ac:dyDescent="0.45"/>
    <row r="985" s="1" customFormat="1" x14ac:dyDescent="0.45"/>
    <row r="986" s="1" customFormat="1" x14ac:dyDescent="0.45"/>
    <row r="987" s="1" customFormat="1" x14ac:dyDescent="0.45"/>
    <row r="988" s="1" customFormat="1" x14ac:dyDescent="0.45"/>
    <row r="989" s="1" customFormat="1" x14ac:dyDescent="0.45"/>
    <row r="990" s="1" customFormat="1" x14ac:dyDescent="0.45"/>
    <row r="991" s="1" customFormat="1" x14ac:dyDescent="0.45"/>
    <row r="992" s="1" customFormat="1" x14ac:dyDescent="0.45"/>
    <row r="993" s="1" customFormat="1" x14ac:dyDescent="0.45"/>
    <row r="994" s="1" customFormat="1" x14ac:dyDescent="0.45"/>
    <row r="995" s="1" customFormat="1" x14ac:dyDescent="0.45"/>
    <row r="996" s="1" customFormat="1" x14ac:dyDescent="0.45"/>
    <row r="997" s="1" customFormat="1" x14ac:dyDescent="0.45"/>
    <row r="998" s="1" customFormat="1" x14ac:dyDescent="0.45"/>
    <row r="999" s="1" customFormat="1" x14ac:dyDescent="0.45"/>
    <row r="1000" s="1" customFormat="1" x14ac:dyDescent="0.45"/>
    <row r="1001" s="1" customFormat="1" x14ac:dyDescent="0.45"/>
    <row r="1002" s="1" customFormat="1" x14ac:dyDescent="0.45"/>
    <row r="1003" s="1" customFormat="1" x14ac:dyDescent="0.45"/>
    <row r="1004" s="1" customFormat="1" x14ac:dyDescent="0.45"/>
    <row r="1005" s="1" customFormat="1" x14ac:dyDescent="0.45"/>
    <row r="1006" s="1" customFormat="1" x14ac:dyDescent="0.45"/>
    <row r="1007" s="1" customFormat="1" x14ac:dyDescent="0.45"/>
    <row r="1008" s="1" customFormat="1" x14ac:dyDescent="0.45"/>
    <row r="1009" s="1" customFormat="1" x14ac:dyDescent="0.45"/>
    <row r="1010" s="1" customFormat="1" x14ac:dyDescent="0.45"/>
    <row r="1011" s="1" customFormat="1" x14ac:dyDescent="0.45"/>
    <row r="1012" s="1" customFormat="1" x14ac:dyDescent="0.45"/>
    <row r="1013" s="1" customFormat="1" x14ac:dyDescent="0.45"/>
    <row r="1014" s="1" customFormat="1" x14ac:dyDescent="0.45"/>
    <row r="1015" s="1" customFormat="1" x14ac:dyDescent="0.45"/>
    <row r="1016" s="1" customFormat="1" x14ac:dyDescent="0.45"/>
    <row r="1017" s="1" customFormat="1" x14ac:dyDescent="0.45"/>
    <row r="1018" s="1" customFormat="1" x14ac:dyDescent="0.45"/>
    <row r="1019" s="1" customFormat="1" x14ac:dyDescent="0.45"/>
    <row r="1020" s="1" customFormat="1" x14ac:dyDescent="0.45"/>
    <row r="1021" s="1" customFormat="1" x14ac:dyDescent="0.45"/>
    <row r="1022" s="1" customFormat="1" x14ac:dyDescent="0.45"/>
    <row r="1023" s="1" customFormat="1" x14ac:dyDescent="0.45"/>
    <row r="1024" s="1" customFormat="1" x14ac:dyDescent="0.45"/>
    <row r="1025" s="1" customFormat="1" x14ac:dyDescent="0.45"/>
    <row r="1026" s="1" customFormat="1" x14ac:dyDescent="0.45"/>
    <row r="1027" s="1" customFormat="1" x14ac:dyDescent="0.45"/>
    <row r="1028" s="1" customFormat="1" x14ac:dyDescent="0.45"/>
    <row r="1029" s="1" customFormat="1" x14ac:dyDescent="0.45"/>
    <row r="1030" s="1" customFormat="1" x14ac:dyDescent="0.45"/>
    <row r="1031" s="1" customFormat="1" x14ac:dyDescent="0.45"/>
    <row r="1032" s="1" customFormat="1" x14ac:dyDescent="0.45"/>
    <row r="1033" s="1" customFormat="1" x14ac:dyDescent="0.45"/>
    <row r="1034" s="1" customFormat="1" x14ac:dyDescent="0.45"/>
    <row r="1035" s="1" customFormat="1" x14ac:dyDescent="0.45"/>
    <row r="1036" s="1" customFormat="1" x14ac:dyDescent="0.45"/>
    <row r="1037" s="1" customFormat="1" x14ac:dyDescent="0.45"/>
    <row r="1038" s="1" customFormat="1" x14ac:dyDescent="0.45"/>
    <row r="1039" s="1" customFormat="1" x14ac:dyDescent="0.45"/>
    <row r="1040" s="1" customFormat="1" x14ac:dyDescent="0.45"/>
    <row r="1041" s="1" customFormat="1" x14ac:dyDescent="0.45"/>
    <row r="1042" s="1" customFormat="1" x14ac:dyDescent="0.45"/>
    <row r="1043" s="1" customFormat="1" x14ac:dyDescent="0.45"/>
    <row r="1044" s="1" customFormat="1" x14ac:dyDescent="0.45"/>
    <row r="1045" s="1" customFormat="1" x14ac:dyDescent="0.45"/>
    <row r="1046" s="1" customFormat="1" x14ac:dyDescent="0.45"/>
    <row r="1047" s="1" customFormat="1" x14ac:dyDescent="0.45"/>
    <row r="1048" s="1" customFormat="1" x14ac:dyDescent="0.45"/>
    <row r="1049" s="1" customFormat="1" x14ac:dyDescent="0.45"/>
    <row r="1050" s="1" customFormat="1" x14ac:dyDescent="0.45"/>
    <row r="1051" s="1" customFormat="1" x14ac:dyDescent="0.45"/>
    <row r="1052" s="1" customFormat="1" x14ac:dyDescent="0.45"/>
    <row r="1053" s="1" customFormat="1" x14ac:dyDescent="0.45"/>
    <row r="1054" s="1" customFormat="1" x14ac:dyDescent="0.45"/>
    <row r="1055" s="1" customFormat="1" x14ac:dyDescent="0.45"/>
    <row r="1056" s="1" customFormat="1" x14ac:dyDescent="0.45"/>
    <row r="1057" s="1" customFormat="1" x14ac:dyDescent="0.45"/>
    <row r="1058" s="1" customFormat="1" x14ac:dyDescent="0.45"/>
    <row r="1059" s="1" customFormat="1" x14ac:dyDescent="0.45"/>
    <row r="1060" s="1" customFormat="1" x14ac:dyDescent="0.45"/>
    <row r="1061" s="1" customFormat="1" x14ac:dyDescent="0.45"/>
    <row r="1062" s="1" customFormat="1" x14ac:dyDescent="0.45"/>
    <row r="1063" s="1" customFormat="1" x14ac:dyDescent="0.45"/>
    <row r="1064" s="1" customFormat="1" x14ac:dyDescent="0.45"/>
    <row r="1065" s="1" customFormat="1" x14ac:dyDescent="0.45"/>
    <row r="1066" s="1" customFormat="1" x14ac:dyDescent="0.45"/>
    <row r="1067" s="1" customFormat="1" x14ac:dyDescent="0.45"/>
    <row r="1068" s="1" customFormat="1" x14ac:dyDescent="0.45"/>
    <row r="1069" s="1" customFormat="1" x14ac:dyDescent="0.45"/>
    <row r="1070" s="1" customFormat="1" x14ac:dyDescent="0.45"/>
    <row r="1071" s="1" customFormat="1" x14ac:dyDescent="0.45"/>
    <row r="1072" s="1" customFormat="1" x14ac:dyDescent="0.45"/>
    <row r="1073" s="1" customFormat="1" x14ac:dyDescent="0.45"/>
    <row r="1074" s="1" customFormat="1" x14ac:dyDescent="0.45"/>
    <row r="1075" s="1" customFormat="1" x14ac:dyDescent="0.45"/>
    <row r="1076" s="1" customFormat="1" x14ac:dyDescent="0.45"/>
    <row r="1077" s="1" customFormat="1" x14ac:dyDescent="0.45"/>
    <row r="1078" s="1" customFormat="1" x14ac:dyDescent="0.45"/>
    <row r="1079" s="1" customFormat="1" x14ac:dyDescent="0.45"/>
    <row r="1080" s="1" customFormat="1" x14ac:dyDescent="0.45"/>
    <row r="1081" s="1" customFormat="1" x14ac:dyDescent="0.45"/>
    <row r="1082" s="1" customFormat="1" x14ac:dyDescent="0.45"/>
    <row r="1083" s="1" customFormat="1" x14ac:dyDescent="0.45"/>
    <row r="1084" s="1" customFormat="1" x14ac:dyDescent="0.45"/>
    <row r="1085" s="1" customFormat="1" x14ac:dyDescent="0.45"/>
    <row r="1086" s="1" customFormat="1" x14ac:dyDescent="0.45"/>
    <row r="1087" s="1" customFormat="1" x14ac:dyDescent="0.45"/>
    <row r="1088" s="1" customFormat="1" x14ac:dyDescent="0.45"/>
    <row r="1089" s="1" customFormat="1" x14ac:dyDescent="0.45"/>
    <row r="1090" s="1" customFormat="1" x14ac:dyDescent="0.45"/>
    <row r="1091" s="1" customFormat="1" x14ac:dyDescent="0.45"/>
    <row r="1092" s="1" customFormat="1" x14ac:dyDescent="0.45"/>
    <row r="1093" s="1" customFormat="1" x14ac:dyDescent="0.45"/>
    <row r="1094" s="1" customFormat="1" x14ac:dyDescent="0.45"/>
    <row r="1095" s="1" customFormat="1" x14ac:dyDescent="0.45"/>
    <row r="1096" s="1" customFormat="1" x14ac:dyDescent="0.45"/>
    <row r="1097" s="1" customFormat="1" x14ac:dyDescent="0.45"/>
    <row r="1098" s="1" customFormat="1" x14ac:dyDescent="0.45"/>
    <row r="1099" s="1" customFormat="1" x14ac:dyDescent="0.45"/>
    <row r="1100" s="1" customFormat="1" x14ac:dyDescent="0.45"/>
    <row r="1101" s="1" customFormat="1" x14ac:dyDescent="0.45"/>
    <row r="1102" s="1" customFormat="1" x14ac:dyDescent="0.45"/>
    <row r="1103" s="1" customFormat="1" x14ac:dyDescent="0.45"/>
    <row r="1104" s="1" customFormat="1" x14ac:dyDescent="0.45"/>
    <row r="1105" s="1" customFormat="1" x14ac:dyDescent="0.45"/>
    <row r="1106" s="1" customFormat="1" x14ac:dyDescent="0.45"/>
    <row r="1107" s="1" customFormat="1" x14ac:dyDescent="0.45"/>
    <row r="1108" s="1" customFormat="1" x14ac:dyDescent="0.45"/>
    <row r="1109" s="1" customFormat="1" x14ac:dyDescent="0.45"/>
    <row r="1110" s="1" customFormat="1" x14ac:dyDescent="0.45"/>
    <row r="1111" s="1" customFormat="1" x14ac:dyDescent="0.45"/>
    <row r="1112" s="1" customFormat="1" x14ac:dyDescent="0.45"/>
    <row r="1113" s="1" customFormat="1" x14ac:dyDescent="0.45"/>
    <row r="1114" s="1" customFormat="1" x14ac:dyDescent="0.45"/>
    <row r="1115" s="1" customFormat="1" x14ac:dyDescent="0.45"/>
    <row r="1116" s="1" customFormat="1" x14ac:dyDescent="0.45"/>
    <row r="1117" s="1" customFormat="1" x14ac:dyDescent="0.45"/>
    <row r="1118" s="1" customFormat="1" x14ac:dyDescent="0.45"/>
    <row r="1119" s="1" customFormat="1" x14ac:dyDescent="0.45"/>
    <row r="1120" s="1" customFormat="1" x14ac:dyDescent="0.45"/>
    <row r="1121" s="1" customFormat="1" x14ac:dyDescent="0.45"/>
    <row r="1122" s="1" customFormat="1" x14ac:dyDescent="0.45"/>
    <row r="1123" s="1" customFormat="1" x14ac:dyDescent="0.45"/>
    <row r="1124" s="1" customFormat="1" x14ac:dyDescent="0.45"/>
    <row r="1125" s="1" customFormat="1" x14ac:dyDescent="0.45"/>
    <row r="1126" s="1" customFormat="1" x14ac:dyDescent="0.45"/>
    <row r="1127" s="1" customFormat="1" x14ac:dyDescent="0.45"/>
    <row r="1128" s="1" customFormat="1" x14ac:dyDescent="0.45"/>
    <row r="1129" s="1" customFormat="1" x14ac:dyDescent="0.45"/>
    <row r="1130" s="1" customFormat="1" x14ac:dyDescent="0.45"/>
    <row r="1131" s="1" customFormat="1" x14ac:dyDescent="0.45"/>
    <row r="1132" s="1" customFormat="1" x14ac:dyDescent="0.45"/>
    <row r="1133" s="1" customFormat="1" x14ac:dyDescent="0.45"/>
    <row r="1134" s="1" customFormat="1" x14ac:dyDescent="0.45"/>
    <row r="1135" s="1" customFormat="1" x14ac:dyDescent="0.45"/>
    <row r="1136" s="1" customFormat="1" x14ac:dyDescent="0.45"/>
    <row r="1137" s="1" customFormat="1" x14ac:dyDescent="0.45"/>
    <row r="1138" s="1" customFormat="1" x14ac:dyDescent="0.45"/>
    <row r="1139" s="1" customFormat="1" x14ac:dyDescent="0.45"/>
    <row r="1140" s="1" customFormat="1" x14ac:dyDescent="0.45"/>
    <row r="1141" s="1" customFormat="1" x14ac:dyDescent="0.45"/>
    <row r="1142" s="1" customFormat="1" x14ac:dyDescent="0.45"/>
    <row r="1143" s="1" customFormat="1" x14ac:dyDescent="0.45"/>
    <row r="1144" s="1" customFormat="1" x14ac:dyDescent="0.45"/>
    <row r="1145" s="1" customFormat="1" x14ac:dyDescent="0.45"/>
    <row r="1146" s="1" customFormat="1" x14ac:dyDescent="0.45"/>
    <row r="1147" s="1" customFormat="1" x14ac:dyDescent="0.45"/>
    <row r="1148" s="1" customFormat="1" x14ac:dyDescent="0.45"/>
    <row r="1149" s="1" customFormat="1" x14ac:dyDescent="0.45"/>
    <row r="1150" s="1" customFormat="1" x14ac:dyDescent="0.45"/>
    <row r="1151" s="1" customFormat="1" x14ac:dyDescent="0.45"/>
    <row r="1152" s="1" customFormat="1" x14ac:dyDescent="0.45"/>
    <row r="1153" s="1" customFormat="1" x14ac:dyDescent="0.45"/>
    <row r="1154" s="1" customFormat="1" x14ac:dyDescent="0.45"/>
    <row r="1155" s="1" customFormat="1" x14ac:dyDescent="0.45"/>
    <row r="1156" s="1" customFormat="1" x14ac:dyDescent="0.45"/>
    <row r="1157" s="1" customFormat="1" x14ac:dyDescent="0.45"/>
    <row r="1158" s="1" customFormat="1" x14ac:dyDescent="0.45"/>
    <row r="1159" s="1" customFormat="1" x14ac:dyDescent="0.45"/>
    <row r="1160" s="1" customFormat="1" x14ac:dyDescent="0.45"/>
    <row r="1161" s="1" customFormat="1" x14ac:dyDescent="0.45"/>
    <row r="1162" s="1" customFormat="1" x14ac:dyDescent="0.45"/>
    <row r="1163" s="1" customFormat="1" x14ac:dyDescent="0.45"/>
    <row r="1164" s="1" customFormat="1" x14ac:dyDescent="0.45"/>
    <row r="1165" s="1" customFormat="1" x14ac:dyDescent="0.45"/>
    <row r="1166" s="1" customFormat="1" x14ac:dyDescent="0.45"/>
    <row r="1167" s="1" customFormat="1" x14ac:dyDescent="0.45"/>
    <row r="1168" s="1" customFormat="1" x14ac:dyDescent="0.45"/>
    <row r="1169" s="1" customFormat="1" x14ac:dyDescent="0.45"/>
    <row r="1170" s="1" customFormat="1" x14ac:dyDescent="0.45"/>
    <row r="1171" s="1" customFormat="1" x14ac:dyDescent="0.45"/>
    <row r="1172" s="1" customFormat="1" x14ac:dyDescent="0.45"/>
    <row r="1173" s="1" customFormat="1" x14ac:dyDescent="0.45"/>
    <row r="1174" s="1" customFormat="1" x14ac:dyDescent="0.45"/>
    <row r="1175" s="1" customFormat="1" x14ac:dyDescent="0.45"/>
    <row r="1176" s="1" customFormat="1" x14ac:dyDescent="0.45"/>
    <row r="1177" s="1" customFormat="1" x14ac:dyDescent="0.45"/>
    <row r="1178" s="1" customFormat="1" x14ac:dyDescent="0.45"/>
    <row r="1179" s="1" customFormat="1" x14ac:dyDescent="0.45"/>
    <row r="1180" s="1" customFormat="1" x14ac:dyDescent="0.45"/>
    <row r="1181" s="1" customFormat="1" x14ac:dyDescent="0.45"/>
    <row r="1182" s="1" customFormat="1" x14ac:dyDescent="0.45"/>
    <row r="1183" s="1" customFormat="1" x14ac:dyDescent="0.45"/>
    <row r="1184" s="1" customFormat="1" x14ac:dyDescent="0.45"/>
    <row r="1185" s="1" customFormat="1" x14ac:dyDescent="0.45"/>
    <row r="1186" s="1" customFormat="1" x14ac:dyDescent="0.45"/>
    <row r="1187" s="1" customFormat="1" x14ac:dyDescent="0.45"/>
    <row r="1188" s="1" customFormat="1" x14ac:dyDescent="0.45"/>
    <row r="1189" s="1" customFormat="1" x14ac:dyDescent="0.45"/>
    <row r="1190" s="1" customFormat="1" x14ac:dyDescent="0.45"/>
    <row r="1191" s="1" customFormat="1" x14ac:dyDescent="0.45"/>
    <row r="1192" s="1" customFormat="1" x14ac:dyDescent="0.45"/>
    <row r="1193" s="1" customFormat="1" x14ac:dyDescent="0.45"/>
    <row r="1194" s="1" customFormat="1" x14ac:dyDescent="0.45"/>
    <row r="1195" s="1" customFormat="1" x14ac:dyDescent="0.45"/>
    <row r="1196" s="1" customFormat="1" x14ac:dyDescent="0.45"/>
    <row r="1197" s="1" customFormat="1" x14ac:dyDescent="0.45"/>
  </sheetData>
  <sheetProtection algorithmName="SHA-512" hashValue="EuZtat9EgsniMSMiw2nmldoiVIY8dMO16AzvRs0eM4GqL0XMyXCVZ2CVBszdf/FoOrbpiFLdQ2uqn7MQc+fewA==" saltValue="I4r6buwZivSKQL0BvTbjYg==" spinCount="100000" sheet="1" objects="1" scenarios="1"/>
  <mergeCells count="3">
    <mergeCell ref="F17:H17"/>
    <mergeCell ref="F16:H16"/>
    <mergeCell ref="B2:H3"/>
  </mergeCells>
  <pageMargins left="0.7" right="0.7" top="0.75" bottom="0.75" header="0.3" footer="0.3"/>
  <pageSetup paperSize="9" orientation="portrait" r:id="rId1"/>
  <headerFooter>
    <oddFooter>&amp;C_x000D_&amp;1#&amp;"Calibri"&amp;10&amp;K000000 [UNCLASSIFIED]</oddFooter>
  </headerFooter>
  <drawing r:id="rId2"/>
  <extLst>
    <ext xmlns:x14="http://schemas.microsoft.com/office/spreadsheetml/2009/9/main" uri="{78C0D931-6437-407d-A8EE-F0AAD7539E65}">
      <x14:conditionalFormattings>
        <x14:conditionalFormatting xmlns:xm="http://schemas.microsoft.com/office/excel/2006/main">
          <x14:cfRule type="iconSet" priority="1" id="{0656CB29-DD03-4FAB-8911-7386AFA195F3}">
            <x14:iconSet showValue="0" custom="1">
              <x14:cfvo type="percent">
                <xm:f>0</xm:f>
              </x14:cfvo>
              <x14:cfvo type="num">
                <xm:f>0</xm:f>
              </x14:cfvo>
              <x14:cfvo type="num">
                <xm:f>1</xm:f>
              </x14:cfvo>
              <x14:cfIcon iconSet="3TrafficLights1" iconId="2"/>
              <x14:cfIcon iconSet="3TrafficLights1" iconId="0"/>
              <x14:cfIcon iconSet="3TrafficLights1" iconId="2"/>
            </x14:iconSet>
          </x14:cfRule>
          <xm:sqref>E37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D0E2441-EFB0-4C15-9CB4-4337EC4DD38E}">
          <x14:formula1>
            <xm:f>Codes!$T$1:$T$2</xm:f>
          </x14:formula1>
          <xm:sqref>D14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B7754-119C-4BAC-8DE2-9781A05CCEBE}">
  <sheetPr>
    <tabColor theme="8"/>
  </sheetPr>
  <dimension ref="A1:CZ426"/>
  <sheetViews>
    <sheetView zoomScale="60" zoomScaleNormal="60" workbookViewId="0"/>
  </sheetViews>
  <sheetFormatPr defaultColWidth="9.1328125" defaultRowHeight="14.25" x14ac:dyDescent="0.45"/>
  <cols>
    <col min="1" max="1" width="9.1328125" style="310"/>
    <col min="2" max="2" width="29.265625" style="310" customWidth="1"/>
    <col min="3" max="3" width="24.59765625" style="310" customWidth="1"/>
    <col min="4" max="4" width="20.265625" style="310" customWidth="1"/>
    <col min="5" max="5" width="20.3984375" style="310" customWidth="1"/>
    <col min="6" max="6" width="23.265625" style="310" customWidth="1"/>
    <col min="7" max="7" width="16.3984375" style="310" bestFit="1" customWidth="1"/>
    <col min="8" max="8" width="24.3984375" style="310" customWidth="1"/>
    <col min="9" max="9" width="14.86328125" style="310" bestFit="1" customWidth="1"/>
    <col min="10" max="10" width="13.1328125" style="310" customWidth="1"/>
    <col min="11" max="11" width="22" style="310" customWidth="1"/>
    <col min="12" max="12" width="30" style="310" customWidth="1"/>
    <col min="13" max="13" width="13.265625" style="310" bestFit="1" customWidth="1"/>
    <col min="14" max="14" width="26.1328125" style="310" customWidth="1"/>
    <col min="15" max="15" width="15.1328125" style="310" bestFit="1" customWidth="1"/>
    <col min="16" max="16" width="12" style="310" bestFit="1" customWidth="1"/>
    <col min="17" max="17" width="18.265625" style="310" customWidth="1"/>
    <col min="18" max="18" width="14.265625" style="310" bestFit="1" customWidth="1"/>
    <col min="19" max="19" width="22.265625" style="310" bestFit="1" customWidth="1"/>
    <col min="20" max="104" width="9.1328125" style="307"/>
    <col min="105" max="16384" width="9.1328125" style="310"/>
  </cols>
  <sheetData>
    <row r="1" spans="1:104" x14ac:dyDescent="0.45">
      <c r="A1" s="307"/>
      <c r="B1" s="91"/>
      <c r="C1" s="91"/>
      <c r="D1" s="91"/>
      <c r="E1" s="91"/>
      <c r="F1" s="91"/>
      <c r="G1" s="91"/>
      <c r="H1" s="91"/>
      <c r="I1" s="91"/>
      <c r="J1" s="91"/>
      <c r="K1" s="91"/>
      <c r="L1" s="91"/>
      <c r="M1" s="91"/>
      <c r="N1" s="91"/>
      <c r="O1" s="91"/>
      <c r="P1" s="91"/>
      <c r="Q1" s="91"/>
      <c r="R1" s="91"/>
      <c r="S1" s="91"/>
      <c r="T1" s="91"/>
      <c r="U1" s="91"/>
    </row>
    <row r="2" spans="1:104" ht="14.25" customHeight="1" x14ac:dyDescent="0.45">
      <c r="A2" s="307"/>
      <c r="B2" s="681" t="s">
        <v>426</v>
      </c>
      <c r="C2" s="681"/>
      <c r="D2" s="681"/>
      <c r="E2" s="681"/>
      <c r="F2" s="681"/>
      <c r="G2" s="681"/>
      <c r="H2" s="681"/>
      <c r="I2" s="681"/>
      <c r="J2" s="681"/>
      <c r="K2" s="681"/>
      <c r="L2" s="681"/>
      <c r="M2" s="91"/>
      <c r="N2" s="91"/>
      <c r="O2" s="91"/>
      <c r="P2" s="91"/>
      <c r="Q2" s="91"/>
      <c r="R2" s="91"/>
      <c r="S2" s="91"/>
      <c r="T2" s="91"/>
      <c r="U2" s="91"/>
    </row>
    <row r="3" spans="1:104" ht="14.25" customHeight="1" x14ac:dyDescent="0.45">
      <c r="A3" s="307"/>
      <c r="B3" s="681"/>
      <c r="C3" s="681"/>
      <c r="D3" s="681"/>
      <c r="E3" s="681"/>
      <c r="F3" s="681"/>
      <c r="G3" s="681"/>
      <c r="H3" s="681"/>
      <c r="I3" s="681"/>
      <c r="J3" s="681"/>
      <c r="K3" s="681"/>
      <c r="L3" s="681"/>
      <c r="M3" s="91"/>
      <c r="N3" s="91"/>
      <c r="O3" s="91"/>
      <c r="P3" s="91"/>
      <c r="Q3" s="91"/>
      <c r="R3" s="91"/>
      <c r="S3" s="91"/>
      <c r="T3" s="91"/>
      <c r="U3" s="91"/>
    </row>
    <row r="4" spans="1:104" ht="14.25" customHeight="1" x14ac:dyDescent="0.45">
      <c r="A4" s="307"/>
      <c r="B4" s="681"/>
      <c r="C4" s="681"/>
      <c r="D4" s="681"/>
      <c r="E4" s="681"/>
      <c r="F4" s="681"/>
      <c r="G4" s="681"/>
      <c r="H4" s="681"/>
      <c r="I4" s="681"/>
      <c r="J4" s="681"/>
      <c r="K4" s="681"/>
      <c r="L4" s="681"/>
      <c r="M4" s="91"/>
      <c r="N4" s="91"/>
      <c r="O4" s="91"/>
      <c r="P4" s="91"/>
      <c r="Q4" s="91"/>
      <c r="R4" s="91"/>
      <c r="S4" s="91"/>
      <c r="T4" s="91"/>
      <c r="U4" s="91"/>
    </row>
    <row r="5" spans="1:104" x14ac:dyDescent="0.45">
      <c r="A5" s="307"/>
      <c r="B5" s="572"/>
      <c r="C5" s="572"/>
      <c r="D5" s="572"/>
      <c r="E5" s="572"/>
      <c r="F5" s="572"/>
      <c r="G5" s="572"/>
      <c r="H5" s="572"/>
      <c r="I5" s="572"/>
      <c r="J5" s="572"/>
      <c r="K5" s="321"/>
      <c r="L5" s="16"/>
      <c r="M5" s="91"/>
      <c r="N5" s="91"/>
      <c r="O5" s="91"/>
      <c r="P5" s="91"/>
      <c r="Q5" s="91"/>
      <c r="R5" s="91"/>
      <c r="S5" s="91"/>
      <c r="T5" s="91"/>
      <c r="U5" s="91"/>
    </row>
    <row r="6" spans="1:104" ht="24.75" customHeight="1" x14ac:dyDescent="0.45">
      <c r="A6" s="307"/>
      <c r="B6" s="573" t="s">
        <v>143</v>
      </c>
      <c r="C6" s="574"/>
      <c r="D6" s="574"/>
      <c r="E6" s="574"/>
      <c r="F6" s="574"/>
      <c r="G6" s="574"/>
      <c r="H6" s="574"/>
      <c r="I6" s="574"/>
      <c r="J6" s="574"/>
      <c r="K6" s="323"/>
      <c r="L6" s="324"/>
      <c r="M6" s="91"/>
      <c r="N6" s="91"/>
      <c r="O6" s="91"/>
      <c r="P6" s="91"/>
      <c r="Q6" s="91"/>
      <c r="R6" s="91"/>
      <c r="S6" s="91"/>
      <c r="T6" s="91"/>
      <c r="U6" s="91"/>
    </row>
    <row r="7" spans="1:104" s="545" customFormat="1" x14ac:dyDescent="0.45">
      <c r="A7" s="544"/>
      <c r="B7" s="575" t="s">
        <v>330</v>
      </c>
      <c r="C7" s="576"/>
      <c r="D7" s="576"/>
      <c r="E7" s="576"/>
      <c r="F7" s="576"/>
      <c r="G7" s="576"/>
      <c r="H7" s="576"/>
      <c r="I7" s="576"/>
      <c r="J7" s="576"/>
      <c r="K7" s="577"/>
      <c r="L7" s="578"/>
      <c r="M7" s="567"/>
      <c r="N7" s="567"/>
      <c r="O7" s="567"/>
      <c r="P7" s="567"/>
      <c r="Q7" s="567"/>
      <c r="R7" s="567"/>
      <c r="S7" s="567"/>
      <c r="T7" s="567"/>
      <c r="U7" s="567"/>
      <c r="V7" s="544"/>
      <c r="W7" s="544"/>
      <c r="X7" s="544"/>
      <c r="Y7" s="544"/>
      <c r="Z7" s="544"/>
      <c r="AA7" s="544"/>
      <c r="AB7" s="544"/>
      <c r="AC7" s="544"/>
      <c r="AD7" s="544"/>
      <c r="AE7" s="544"/>
      <c r="AF7" s="544"/>
      <c r="AG7" s="544"/>
      <c r="AH7" s="544"/>
      <c r="AI7" s="544"/>
      <c r="AJ7" s="544"/>
      <c r="AK7" s="544"/>
      <c r="AL7" s="544"/>
      <c r="AM7" s="544"/>
      <c r="AN7" s="544"/>
      <c r="AO7" s="544"/>
      <c r="AP7" s="544"/>
      <c r="AQ7" s="544"/>
      <c r="AR7" s="544"/>
      <c r="AS7" s="544"/>
      <c r="AT7" s="544"/>
      <c r="AU7" s="544"/>
      <c r="AV7" s="544"/>
      <c r="AW7" s="544"/>
      <c r="AX7" s="544"/>
      <c r="AY7" s="544"/>
      <c r="AZ7" s="544"/>
      <c r="BA7" s="544"/>
      <c r="BB7" s="544"/>
      <c r="BC7" s="544"/>
      <c r="BD7" s="544"/>
      <c r="BE7" s="544"/>
      <c r="BF7" s="544"/>
      <c r="BG7" s="544"/>
      <c r="BH7" s="544"/>
      <c r="BI7" s="544"/>
      <c r="BJ7" s="544"/>
      <c r="BK7" s="544"/>
      <c r="BL7" s="544"/>
      <c r="BM7" s="544"/>
      <c r="BN7" s="544"/>
      <c r="BO7" s="544"/>
      <c r="BP7" s="544"/>
      <c r="BQ7" s="544"/>
      <c r="BR7" s="544"/>
      <c r="BS7" s="544"/>
      <c r="BT7" s="544"/>
      <c r="BU7" s="544"/>
      <c r="BV7" s="544"/>
      <c r="BW7" s="544"/>
      <c r="BX7" s="544"/>
      <c r="BY7" s="544"/>
      <c r="BZ7" s="544"/>
      <c r="CA7" s="544"/>
      <c r="CB7" s="544"/>
      <c r="CC7" s="544"/>
      <c r="CD7" s="544"/>
      <c r="CE7" s="544"/>
      <c r="CF7" s="544"/>
      <c r="CG7" s="544"/>
      <c r="CH7" s="544"/>
      <c r="CI7" s="544"/>
      <c r="CJ7" s="544"/>
      <c r="CK7" s="544"/>
      <c r="CL7" s="544"/>
      <c r="CM7" s="544"/>
      <c r="CN7" s="544"/>
      <c r="CO7" s="544"/>
      <c r="CP7" s="544"/>
      <c r="CQ7" s="544"/>
      <c r="CR7" s="544"/>
      <c r="CS7" s="544"/>
      <c r="CT7" s="544"/>
      <c r="CU7" s="544"/>
      <c r="CV7" s="544"/>
      <c r="CW7" s="544"/>
      <c r="CX7" s="544"/>
      <c r="CY7" s="544"/>
      <c r="CZ7" s="544"/>
    </row>
    <row r="8" spans="1:104" s="545" customFormat="1" ht="29.25" customHeight="1" x14ac:dyDescent="0.45">
      <c r="A8" s="544"/>
      <c r="B8" s="579" t="s">
        <v>144</v>
      </c>
      <c r="C8" s="580"/>
      <c r="D8" s="580"/>
      <c r="E8" s="580"/>
      <c r="F8" s="580"/>
      <c r="G8" s="580"/>
      <c r="H8" s="580"/>
      <c r="I8" s="580"/>
      <c r="J8" s="580"/>
      <c r="K8" s="581"/>
      <c r="L8" s="582"/>
      <c r="M8" s="567"/>
      <c r="N8" s="567"/>
      <c r="O8" s="567"/>
      <c r="P8" s="567"/>
      <c r="Q8" s="567"/>
      <c r="R8" s="567"/>
      <c r="S8" s="567"/>
      <c r="T8" s="567"/>
      <c r="U8" s="567"/>
      <c r="V8" s="544"/>
      <c r="W8" s="544"/>
      <c r="X8" s="544"/>
      <c r="Y8" s="544"/>
      <c r="Z8" s="544"/>
      <c r="AA8" s="544"/>
      <c r="AB8" s="544"/>
      <c r="AC8" s="544"/>
      <c r="AD8" s="544"/>
      <c r="AE8" s="544"/>
      <c r="AF8" s="544"/>
      <c r="AG8" s="544"/>
      <c r="AH8" s="544"/>
      <c r="AI8" s="544"/>
      <c r="AJ8" s="544"/>
      <c r="AK8" s="544"/>
      <c r="AL8" s="544"/>
      <c r="AM8" s="544"/>
      <c r="AN8" s="544"/>
      <c r="AO8" s="544"/>
      <c r="AP8" s="544"/>
      <c r="AQ8" s="544"/>
      <c r="AR8" s="544"/>
      <c r="AS8" s="544"/>
      <c r="AT8" s="544"/>
      <c r="AU8" s="544"/>
      <c r="AV8" s="544"/>
      <c r="AW8" s="544"/>
      <c r="AX8" s="544"/>
      <c r="AY8" s="544"/>
      <c r="AZ8" s="544"/>
      <c r="BA8" s="544"/>
      <c r="BB8" s="544"/>
      <c r="BC8" s="544"/>
      <c r="BD8" s="544"/>
      <c r="BE8" s="544"/>
      <c r="BF8" s="544"/>
      <c r="BG8" s="544"/>
      <c r="BH8" s="544"/>
      <c r="BI8" s="544"/>
      <c r="BJ8" s="544"/>
      <c r="BK8" s="544"/>
      <c r="BL8" s="544"/>
      <c r="BM8" s="544"/>
      <c r="BN8" s="544"/>
      <c r="BO8" s="544"/>
      <c r="BP8" s="544"/>
      <c r="BQ8" s="544"/>
      <c r="BR8" s="544"/>
      <c r="BS8" s="544"/>
      <c r="BT8" s="544"/>
      <c r="BU8" s="544"/>
      <c r="BV8" s="544"/>
      <c r="BW8" s="544"/>
      <c r="BX8" s="544"/>
      <c r="BY8" s="544"/>
      <c r="BZ8" s="544"/>
      <c r="CA8" s="544"/>
      <c r="CB8" s="544"/>
      <c r="CC8" s="544"/>
      <c r="CD8" s="544"/>
      <c r="CE8" s="544"/>
      <c r="CF8" s="544"/>
      <c r="CG8" s="544"/>
      <c r="CH8" s="544"/>
      <c r="CI8" s="544"/>
      <c r="CJ8" s="544"/>
      <c r="CK8" s="544"/>
      <c r="CL8" s="544"/>
      <c r="CM8" s="544"/>
      <c r="CN8" s="544"/>
      <c r="CO8" s="544"/>
      <c r="CP8" s="544"/>
      <c r="CQ8" s="544"/>
      <c r="CR8" s="544"/>
      <c r="CS8" s="544"/>
      <c r="CT8" s="544"/>
      <c r="CU8" s="544"/>
      <c r="CV8" s="544"/>
      <c r="CW8" s="544"/>
      <c r="CX8" s="544"/>
      <c r="CY8" s="544"/>
      <c r="CZ8" s="544"/>
    </row>
    <row r="9" spans="1:104" ht="12" customHeight="1" x14ac:dyDescent="0.45">
      <c r="A9" s="307"/>
      <c r="B9" s="427"/>
      <c r="C9" s="426"/>
      <c r="D9" s="426"/>
      <c r="E9" s="426"/>
      <c r="F9" s="426"/>
      <c r="G9" s="426"/>
      <c r="H9" s="426"/>
      <c r="I9" s="426"/>
      <c r="J9" s="426"/>
      <c r="K9" s="341"/>
      <c r="L9" s="307"/>
      <c r="M9" s="307"/>
      <c r="N9" s="307"/>
      <c r="O9" s="307"/>
      <c r="P9" s="307"/>
      <c r="Q9" s="307"/>
      <c r="R9" s="307"/>
      <c r="S9" s="307"/>
    </row>
    <row r="10" spans="1:104" ht="15.75" customHeight="1" x14ac:dyDescent="0.45">
      <c r="A10" s="307"/>
      <c r="B10" s="281" t="s">
        <v>347</v>
      </c>
      <c r="C10" s="426"/>
      <c r="D10" s="426"/>
      <c r="E10" s="426"/>
      <c r="F10" s="426"/>
      <c r="G10" s="426"/>
      <c r="H10" s="426"/>
      <c r="I10" s="426"/>
      <c r="J10" s="426"/>
      <c r="K10" s="341"/>
      <c r="L10" s="307"/>
      <c r="M10" s="307"/>
      <c r="N10" s="307"/>
      <c r="O10" s="307"/>
      <c r="P10" s="307"/>
      <c r="Q10" s="307"/>
      <c r="R10" s="307"/>
      <c r="S10" s="307"/>
    </row>
    <row r="11" spans="1:104" ht="13.9" customHeight="1" x14ac:dyDescent="0.45">
      <c r="A11" s="307"/>
      <c r="B11" s="426"/>
      <c r="C11" s="426"/>
      <c r="D11" s="426"/>
      <c r="E11" s="426"/>
      <c r="F11" s="426"/>
      <c r="G11" s="426"/>
      <c r="H11" s="426"/>
      <c r="I11" s="426"/>
      <c r="J11" s="426"/>
      <c r="K11" s="341"/>
      <c r="L11" s="307"/>
      <c r="M11" s="307"/>
      <c r="N11" s="307"/>
      <c r="O11" s="307"/>
      <c r="P11" s="307"/>
      <c r="Q11" s="307"/>
      <c r="R11" s="307"/>
      <c r="S11" s="307"/>
    </row>
    <row r="12" spans="1:104" x14ac:dyDescent="0.45">
      <c r="A12" s="307"/>
      <c r="B12" s="367" t="s">
        <v>434</v>
      </c>
      <c r="C12" s="307"/>
      <c r="D12" s="307"/>
      <c r="E12" s="367" t="s">
        <v>435</v>
      </c>
      <c r="F12" s="307"/>
      <c r="G12" s="407"/>
      <c r="H12" s="407"/>
      <c r="I12" s="307"/>
      <c r="J12" s="307"/>
      <c r="K12" s="307"/>
      <c r="L12" s="307"/>
      <c r="M12" s="307"/>
      <c r="N12" s="307"/>
      <c r="O12" s="307"/>
      <c r="P12" s="307"/>
      <c r="Q12" s="307"/>
      <c r="R12" s="307"/>
      <c r="S12" s="307"/>
    </row>
    <row r="13" spans="1:104" x14ac:dyDescent="0.45">
      <c r="A13" s="307"/>
      <c r="B13" s="307"/>
      <c r="C13" s="307"/>
      <c r="D13" s="307"/>
      <c r="E13" s="470"/>
      <c r="F13" s="307"/>
      <c r="G13" s="407"/>
      <c r="H13" s="407"/>
      <c r="I13" s="307"/>
      <c r="J13" s="307"/>
      <c r="K13" s="307"/>
      <c r="L13" s="307"/>
      <c r="M13" s="307"/>
      <c r="N13" s="307"/>
      <c r="O13" s="307"/>
      <c r="P13" s="307"/>
      <c r="Q13" s="307"/>
      <c r="R13" s="307"/>
      <c r="S13" s="307"/>
    </row>
    <row r="14" spans="1:104" s="307" customFormat="1" ht="28.5" x14ac:dyDescent="0.45">
      <c r="B14" s="551" t="s">
        <v>362</v>
      </c>
      <c r="C14" s="551" t="s">
        <v>363</v>
      </c>
      <c r="D14" s="407"/>
      <c r="E14" s="722" t="s">
        <v>148</v>
      </c>
      <c r="F14" s="723"/>
      <c r="G14" s="722" t="s">
        <v>149</v>
      </c>
      <c r="H14" s="723"/>
    </row>
    <row r="15" spans="1:104" s="307" customFormat="1" x14ac:dyDescent="0.45">
      <c r="B15" s="387" t="s">
        <v>150</v>
      </c>
      <c r="C15" s="428" t="s">
        <v>151</v>
      </c>
      <c r="D15" s="429"/>
      <c r="E15" s="381" t="s">
        <v>147</v>
      </c>
      <c r="F15" s="382" t="s">
        <v>152</v>
      </c>
      <c r="G15" s="381" t="s">
        <v>153</v>
      </c>
      <c r="H15" s="382" t="s">
        <v>154</v>
      </c>
      <c r="M15" s="341"/>
    </row>
    <row r="16" spans="1:104" s="307" customFormat="1" x14ac:dyDescent="0.45">
      <c r="B16" s="392" t="s">
        <v>155</v>
      </c>
      <c r="C16" s="431" t="s">
        <v>151</v>
      </c>
      <c r="D16" s="429"/>
      <c r="E16" s="384" t="s">
        <v>151</v>
      </c>
      <c r="F16" s="385">
        <f t="shared" ref="F16:F21" si="0">COUNTIF($C$15:$C$34,E16)</f>
        <v>7</v>
      </c>
      <c r="G16" s="388">
        <v>40</v>
      </c>
      <c r="H16" s="389">
        <v>250</v>
      </c>
    </row>
    <row r="17" spans="2:12" s="307" customFormat="1" x14ac:dyDescent="0.45">
      <c r="B17" s="392" t="s">
        <v>156</v>
      </c>
      <c r="C17" s="431" t="s">
        <v>151</v>
      </c>
      <c r="D17" s="429"/>
      <c r="E17" s="390" t="s">
        <v>157</v>
      </c>
      <c r="F17" s="376">
        <f t="shared" si="0"/>
        <v>4</v>
      </c>
      <c r="G17" s="393">
        <v>65</v>
      </c>
      <c r="H17" s="377">
        <v>250</v>
      </c>
    </row>
    <row r="18" spans="2:12" s="307" customFormat="1" x14ac:dyDescent="0.45">
      <c r="B18" s="392" t="s">
        <v>158</v>
      </c>
      <c r="C18" s="431" t="s">
        <v>151</v>
      </c>
      <c r="D18" s="429"/>
      <c r="E18" s="390" t="s">
        <v>159</v>
      </c>
      <c r="F18" s="376">
        <f t="shared" si="0"/>
        <v>2</v>
      </c>
      <c r="G18" s="393">
        <v>90</v>
      </c>
      <c r="H18" s="377">
        <v>250</v>
      </c>
    </row>
    <row r="19" spans="2:12" s="307" customFormat="1" x14ac:dyDescent="0.45">
      <c r="B19" s="392" t="s">
        <v>160</v>
      </c>
      <c r="C19" s="431" t="s">
        <v>151</v>
      </c>
      <c r="D19" s="429"/>
      <c r="E19" s="390" t="s">
        <v>161</v>
      </c>
      <c r="F19" s="376">
        <f t="shared" si="0"/>
        <v>7</v>
      </c>
      <c r="G19" s="393">
        <v>120</v>
      </c>
      <c r="H19" s="377">
        <v>250</v>
      </c>
    </row>
    <row r="20" spans="2:12" s="307" customFormat="1" x14ac:dyDescent="0.45">
      <c r="B20" s="392" t="s">
        <v>162</v>
      </c>
      <c r="C20" s="431" t="s">
        <v>151</v>
      </c>
      <c r="D20" s="429"/>
      <c r="E20" s="390" t="s">
        <v>163</v>
      </c>
      <c r="F20" s="376">
        <f t="shared" si="0"/>
        <v>0</v>
      </c>
      <c r="G20" s="393">
        <v>0</v>
      </c>
      <c r="H20" s="377">
        <v>0</v>
      </c>
    </row>
    <row r="21" spans="2:12" s="307" customFormat="1" x14ac:dyDescent="0.45">
      <c r="B21" s="392" t="s">
        <v>164</v>
      </c>
      <c r="C21" s="431" t="s">
        <v>151</v>
      </c>
      <c r="D21" s="429"/>
      <c r="E21" s="394" t="s">
        <v>165</v>
      </c>
      <c r="F21" s="395">
        <f t="shared" si="0"/>
        <v>0</v>
      </c>
      <c r="G21" s="379">
        <v>0</v>
      </c>
      <c r="H21" s="380">
        <v>0</v>
      </c>
    </row>
    <row r="22" spans="2:12" s="307" customFormat="1" x14ac:dyDescent="0.45">
      <c r="B22" s="392" t="s">
        <v>166</v>
      </c>
      <c r="C22" s="431" t="s">
        <v>157</v>
      </c>
      <c r="D22" s="429"/>
      <c r="E22" s="394" t="s">
        <v>167</v>
      </c>
      <c r="F22" s="395">
        <f>SUM($F$16:$F$21)</f>
        <v>20</v>
      </c>
      <c r="G22" s="414">
        <f>(F16*G16)+(F17*G17)+(F18*G18)+(F19*G19)+(F20*G20)+(F21*G21)</f>
        <v>1560</v>
      </c>
      <c r="H22" s="395">
        <f>(F16*H16)+(F17*H17)+(F18*H18)+(F19*H19)+(F20*H20)+(F21*H21)</f>
        <v>5000</v>
      </c>
    </row>
    <row r="23" spans="2:12" s="307" customFormat="1" x14ac:dyDescent="0.45">
      <c r="B23" s="392" t="s">
        <v>168</v>
      </c>
      <c r="C23" s="431" t="s">
        <v>157</v>
      </c>
      <c r="D23" s="429"/>
    </row>
    <row r="24" spans="2:12" s="307" customFormat="1" x14ac:dyDescent="0.45">
      <c r="B24" s="392" t="s">
        <v>169</v>
      </c>
      <c r="C24" s="431" t="s">
        <v>157</v>
      </c>
      <c r="D24" s="429"/>
      <c r="E24" s="429"/>
      <c r="F24" s="429"/>
    </row>
    <row r="25" spans="2:12" s="307" customFormat="1" x14ac:dyDescent="0.45">
      <c r="B25" s="392" t="s">
        <v>170</v>
      </c>
      <c r="C25" s="431" t="s">
        <v>157</v>
      </c>
      <c r="D25" s="429"/>
      <c r="E25" s="429"/>
      <c r="F25" s="429"/>
    </row>
    <row r="26" spans="2:12" s="307" customFormat="1" x14ac:dyDescent="0.45">
      <c r="B26" s="392" t="s">
        <v>171</v>
      </c>
      <c r="C26" s="431" t="s">
        <v>159</v>
      </c>
      <c r="D26" s="429"/>
      <c r="E26" s="429"/>
      <c r="F26" s="429"/>
    </row>
    <row r="27" spans="2:12" s="307" customFormat="1" x14ac:dyDescent="0.45">
      <c r="B27" s="392" t="s">
        <v>172</v>
      </c>
      <c r="C27" s="431" t="s">
        <v>159</v>
      </c>
      <c r="D27" s="429"/>
      <c r="E27" s="429"/>
      <c r="F27" s="429"/>
    </row>
    <row r="28" spans="2:12" s="307" customFormat="1" x14ac:dyDescent="0.45">
      <c r="B28" s="392" t="s">
        <v>173</v>
      </c>
      <c r="C28" s="431" t="s">
        <v>161</v>
      </c>
      <c r="D28" s="429"/>
      <c r="E28" s="429"/>
      <c r="F28" s="429"/>
    </row>
    <row r="29" spans="2:12" s="307" customFormat="1" x14ac:dyDescent="0.45">
      <c r="B29" s="392" t="s">
        <v>174</v>
      </c>
      <c r="C29" s="431" t="s">
        <v>161</v>
      </c>
      <c r="D29" s="429"/>
      <c r="E29" s="429"/>
      <c r="F29" s="429"/>
    </row>
    <row r="30" spans="2:12" s="307" customFormat="1" x14ac:dyDescent="0.45">
      <c r="B30" s="392" t="s">
        <v>175</v>
      </c>
      <c r="C30" s="431" t="s">
        <v>161</v>
      </c>
      <c r="D30" s="429"/>
      <c r="E30" s="429"/>
      <c r="F30" s="429"/>
      <c r="H30" s="341"/>
      <c r="I30" s="341"/>
      <c r="J30" s="341"/>
      <c r="K30" s="341"/>
      <c r="L30" s="341"/>
    </row>
    <row r="31" spans="2:12" s="307" customFormat="1" x14ac:dyDescent="0.45">
      <c r="B31" s="392" t="s">
        <v>176</v>
      </c>
      <c r="C31" s="431" t="s">
        <v>161</v>
      </c>
      <c r="D31" s="429"/>
      <c r="E31" s="429"/>
      <c r="F31" s="429"/>
      <c r="H31" s="341"/>
      <c r="I31" s="341"/>
      <c r="J31" s="341"/>
      <c r="K31" s="341"/>
      <c r="L31" s="341"/>
    </row>
    <row r="32" spans="2:12" s="307" customFormat="1" x14ac:dyDescent="0.45">
      <c r="B32" s="392" t="s">
        <v>177</v>
      </c>
      <c r="C32" s="431" t="s">
        <v>161</v>
      </c>
      <c r="D32" s="429"/>
      <c r="E32" s="429"/>
      <c r="F32" s="429"/>
      <c r="H32" s="341"/>
      <c r="I32" s="341"/>
      <c r="J32" s="341"/>
      <c r="K32" s="341"/>
      <c r="L32" s="341"/>
    </row>
    <row r="33" spans="1:19" s="307" customFormat="1" x14ac:dyDescent="0.45">
      <c r="B33" s="392" t="s">
        <v>178</v>
      </c>
      <c r="C33" s="431" t="s">
        <v>161</v>
      </c>
      <c r="D33" s="429"/>
      <c r="E33" s="429"/>
      <c r="F33" s="429"/>
      <c r="H33" s="341"/>
      <c r="I33" s="341"/>
      <c r="J33" s="341"/>
      <c r="K33" s="341"/>
      <c r="L33" s="341"/>
    </row>
    <row r="34" spans="1:19" s="307" customFormat="1" x14ac:dyDescent="0.45">
      <c r="B34" s="398" t="s">
        <v>179</v>
      </c>
      <c r="C34" s="432" t="s">
        <v>161</v>
      </c>
      <c r="D34" s="429"/>
      <c r="E34" s="429"/>
      <c r="F34" s="429"/>
      <c r="H34" s="341"/>
      <c r="I34" s="341"/>
      <c r="J34" s="341"/>
      <c r="K34" s="341"/>
      <c r="L34" s="341"/>
    </row>
    <row r="35" spans="1:19" s="307" customFormat="1" x14ac:dyDescent="0.45">
      <c r="B35" s="470"/>
      <c r="D35" s="407"/>
      <c r="E35" s="407"/>
      <c r="F35" s="407"/>
      <c r="H35" s="341"/>
      <c r="I35" s="341"/>
      <c r="J35" s="341"/>
      <c r="K35" s="341"/>
      <c r="L35" s="341"/>
    </row>
    <row r="36" spans="1:19" s="307" customFormat="1" x14ac:dyDescent="0.45">
      <c r="F36" s="407"/>
      <c r="H36" s="341"/>
      <c r="I36" s="341"/>
      <c r="J36" s="341"/>
      <c r="K36" s="341"/>
      <c r="L36" s="341"/>
    </row>
    <row r="37" spans="1:19" x14ac:dyDescent="0.45">
      <c r="A37" s="307"/>
      <c r="B37" s="367" t="s">
        <v>436</v>
      </c>
      <c r="C37" s="470"/>
      <c r="D37" s="470"/>
      <c r="E37" s="470"/>
      <c r="F37" s="399"/>
      <c r="G37" s="399"/>
      <c r="H37" s="399"/>
      <c r="I37" s="399"/>
      <c r="J37" s="399"/>
      <c r="K37" s="399"/>
      <c r="L37" s="399"/>
      <c r="M37" s="399"/>
      <c r="N37" s="307"/>
      <c r="O37" s="307"/>
      <c r="P37" s="307"/>
      <c r="Q37" s="307"/>
      <c r="R37" s="307"/>
      <c r="S37" s="307"/>
    </row>
    <row r="38" spans="1:19" x14ac:dyDescent="0.45">
      <c r="A38" s="307"/>
      <c r="B38" s="470"/>
      <c r="C38" s="470"/>
      <c r="D38" s="470"/>
      <c r="E38" s="470"/>
      <c r="F38" s="399"/>
      <c r="G38" s="399"/>
      <c r="H38" s="399"/>
      <c r="I38" s="399"/>
      <c r="J38" s="399"/>
      <c r="K38" s="399"/>
      <c r="L38" s="399"/>
      <c r="M38" s="399"/>
      <c r="N38" s="307"/>
      <c r="O38" s="307"/>
      <c r="P38" s="307"/>
      <c r="Q38" s="307"/>
      <c r="R38" s="307"/>
      <c r="S38" s="307"/>
    </row>
    <row r="39" spans="1:19" x14ac:dyDescent="0.45">
      <c r="A39" s="307"/>
      <c r="B39" s="670"/>
      <c r="C39" s="672"/>
      <c r="D39" s="670" t="s">
        <v>180</v>
      </c>
      <c r="E39" s="671"/>
      <c r="F39" s="671"/>
      <c r="G39" s="670" t="s">
        <v>181</v>
      </c>
      <c r="H39" s="671"/>
      <c r="I39" s="672"/>
      <c r="J39" s="670" t="s">
        <v>182</v>
      </c>
      <c r="K39" s="671"/>
      <c r="L39" s="672"/>
      <c r="M39" s="399"/>
      <c r="N39" s="307"/>
      <c r="O39" s="307"/>
      <c r="P39" s="307"/>
      <c r="Q39" s="307"/>
      <c r="R39" s="307"/>
      <c r="S39" s="307"/>
    </row>
    <row r="40" spans="1:19" x14ac:dyDescent="0.45">
      <c r="A40" s="307"/>
      <c r="B40" s="433" t="str">
        <f>E15</f>
        <v xml:space="preserve">Typology </v>
      </c>
      <c r="C40" s="434" t="str">
        <f>F15</f>
        <v xml:space="preserve">Number </v>
      </c>
      <c r="D40" s="435" t="s">
        <v>183</v>
      </c>
      <c r="E40" s="436" t="s">
        <v>184</v>
      </c>
      <c r="F40" s="436" t="s">
        <v>185</v>
      </c>
      <c r="G40" s="381" t="s">
        <v>183</v>
      </c>
      <c r="H40" s="383" t="s">
        <v>184</v>
      </c>
      <c r="I40" s="382" t="s">
        <v>185</v>
      </c>
      <c r="J40" s="435" t="s">
        <v>186</v>
      </c>
      <c r="K40" s="436" t="s">
        <v>187</v>
      </c>
      <c r="L40" s="434" t="s">
        <v>188</v>
      </c>
      <c r="M40" s="399"/>
      <c r="N40" s="307"/>
      <c r="O40" s="307"/>
      <c r="P40" s="307"/>
      <c r="Q40" s="307"/>
      <c r="R40" s="307"/>
      <c r="S40" s="307"/>
    </row>
    <row r="41" spans="1:19" x14ac:dyDescent="0.45">
      <c r="A41" s="307"/>
      <c r="B41" s="430"/>
      <c r="C41" s="382"/>
      <c r="D41" s="381"/>
      <c r="E41" s="383"/>
      <c r="F41" s="383"/>
      <c r="G41" s="437"/>
      <c r="H41" s="471"/>
      <c r="I41" s="472"/>
      <c r="J41" s="437"/>
      <c r="K41" s="471"/>
      <c r="L41" s="472"/>
      <c r="M41" s="399"/>
      <c r="N41" s="307"/>
      <c r="O41" s="307"/>
      <c r="P41" s="307"/>
      <c r="Q41" s="307"/>
      <c r="R41" s="307"/>
      <c r="S41" s="307"/>
    </row>
    <row r="42" spans="1:19" x14ac:dyDescent="0.45">
      <c r="A42" s="307"/>
      <c r="B42" s="340" t="str">
        <f t="shared" ref="B42:C47" si="1">E16</f>
        <v>1 Bed</v>
      </c>
      <c r="C42" s="376">
        <f t="shared" si="1"/>
        <v>7</v>
      </c>
      <c r="D42" s="438">
        <v>240000</v>
      </c>
      <c r="E42" s="347">
        <v>200000</v>
      </c>
      <c r="F42" s="345">
        <f>D42+E42</f>
        <v>440000</v>
      </c>
      <c r="G42" s="438">
        <v>240000</v>
      </c>
      <c r="H42" s="347">
        <v>200000</v>
      </c>
      <c r="I42" s="353">
        <f>G42+H42</f>
        <v>440000</v>
      </c>
      <c r="J42" s="260">
        <v>0.55000000000000004</v>
      </c>
      <c r="K42" s="345">
        <f>J42*I42</f>
        <v>242000.00000000003</v>
      </c>
      <c r="L42" s="353">
        <f t="shared" ref="L42:L47" si="2">K42*F16</f>
        <v>1694000.0000000002</v>
      </c>
      <c r="M42" s="399"/>
      <c r="N42" s="307"/>
      <c r="O42" s="307"/>
      <c r="P42" s="307"/>
      <c r="Q42" s="307"/>
      <c r="R42" s="307"/>
      <c r="S42" s="307"/>
    </row>
    <row r="43" spans="1:19" x14ac:dyDescent="0.45">
      <c r="A43" s="307"/>
      <c r="B43" s="340" t="str">
        <f t="shared" si="1"/>
        <v>2 Bed</v>
      </c>
      <c r="C43" s="376">
        <f t="shared" si="1"/>
        <v>4</v>
      </c>
      <c r="D43" s="438">
        <v>325000</v>
      </c>
      <c r="E43" s="347">
        <v>200000</v>
      </c>
      <c r="F43" s="345">
        <f t="shared" ref="F43:F47" si="3">D43+E43</f>
        <v>525000</v>
      </c>
      <c r="G43" s="438">
        <v>325000</v>
      </c>
      <c r="H43" s="347">
        <v>200000</v>
      </c>
      <c r="I43" s="353">
        <f t="shared" ref="I43:I47" si="4">G43+H43</f>
        <v>525000</v>
      </c>
      <c r="J43" s="260">
        <v>0.55000000000000004</v>
      </c>
      <c r="K43" s="345">
        <f t="shared" ref="K43:K47" si="5">J43*I43</f>
        <v>288750</v>
      </c>
      <c r="L43" s="353">
        <f t="shared" si="2"/>
        <v>1155000</v>
      </c>
      <c r="M43" s="399"/>
      <c r="N43" s="307"/>
      <c r="O43" s="307"/>
      <c r="P43" s="307"/>
      <c r="Q43" s="307"/>
      <c r="R43" s="307"/>
      <c r="S43" s="307"/>
    </row>
    <row r="44" spans="1:19" x14ac:dyDescent="0.45">
      <c r="A44" s="307"/>
      <c r="B44" s="340" t="str">
        <f t="shared" si="1"/>
        <v>3 Bed</v>
      </c>
      <c r="C44" s="376">
        <f t="shared" si="1"/>
        <v>2</v>
      </c>
      <c r="D44" s="438">
        <v>360000</v>
      </c>
      <c r="E44" s="347">
        <v>200000</v>
      </c>
      <c r="F44" s="345">
        <f t="shared" si="3"/>
        <v>560000</v>
      </c>
      <c r="G44" s="438">
        <v>360000</v>
      </c>
      <c r="H44" s="347">
        <v>200000</v>
      </c>
      <c r="I44" s="353">
        <f t="shared" si="4"/>
        <v>560000</v>
      </c>
      <c r="J44" s="260">
        <v>0.55000000000000004</v>
      </c>
      <c r="K44" s="345">
        <f t="shared" si="5"/>
        <v>308000</v>
      </c>
      <c r="L44" s="353">
        <f t="shared" si="2"/>
        <v>616000</v>
      </c>
      <c r="M44" s="399"/>
      <c r="N44" s="307"/>
      <c r="O44" s="307"/>
      <c r="P44" s="307"/>
      <c r="Q44" s="307"/>
      <c r="R44" s="307"/>
      <c r="S44" s="307"/>
    </row>
    <row r="45" spans="1:19" x14ac:dyDescent="0.45">
      <c r="A45" s="307"/>
      <c r="B45" s="340" t="str">
        <f t="shared" si="1"/>
        <v>4 Bed</v>
      </c>
      <c r="C45" s="376">
        <f t="shared" si="1"/>
        <v>7</v>
      </c>
      <c r="D45" s="438">
        <v>420000</v>
      </c>
      <c r="E45" s="347">
        <v>200000</v>
      </c>
      <c r="F45" s="345">
        <f t="shared" si="3"/>
        <v>620000</v>
      </c>
      <c r="G45" s="438">
        <v>420000</v>
      </c>
      <c r="H45" s="347">
        <v>200000</v>
      </c>
      <c r="I45" s="353">
        <f t="shared" si="4"/>
        <v>620000</v>
      </c>
      <c r="J45" s="260">
        <v>0.55000000000000004</v>
      </c>
      <c r="K45" s="345">
        <f t="shared" si="5"/>
        <v>341000</v>
      </c>
      <c r="L45" s="353">
        <f t="shared" si="2"/>
        <v>2387000</v>
      </c>
      <c r="M45" s="399"/>
      <c r="N45" s="307"/>
      <c r="O45" s="307"/>
      <c r="P45" s="307"/>
      <c r="Q45" s="307"/>
      <c r="R45" s="307"/>
      <c r="S45" s="307"/>
    </row>
    <row r="46" spans="1:19" x14ac:dyDescent="0.45">
      <c r="A46" s="307"/>
      <c r="B46" s="340" t="str">
        <f t="shared" si="1"/>
        <v>5 Bed</v>
      </c>
      <c r="C46" s="376">
        <f t="shared" si="1"/>
        <v>0</v>
      </c>
      <c r="D46" s="438">
        <v>0</v>
      </c>
      <c r="E46" s="347">
        <v>0</v>
      </c>
      <c r="F46" s="345">
        <f t="shared" si="3"/>
        <v>0</v>
      </c>
      <c r="G46" s="438">
        <v>0</v>
      </c>
      <c r="H46" s="347">
        <v>0</v>
      </c>
      <c r="I46" s="353">
        <f t="shared" si="4"/>
        <v>0</v>
      </c>
      <c r="J46" s="260">
        <v>0.55000000000000004</v>
      </c>
      <c r="K46" s="345">
        <f t="shared" si="5"/>
        <v>0</v>
      </c>
      <c r="L46" s="353">
        <f t="shared" si="2"/>
        <v>0</v>
      </c>
      <c r="M46" s="399"/>
      <c r="N46" s="307"/>
      <c r="O46" s="307"/>
      <c r="P46" s="307"/>
      <c r="Q46" s="307"/>
      <c r="R46" s="307"/>
      <c r="S46" s="307"/>
    </row>
    <row r="47" spans="1:19" x14ac:dyDescent="0.45">
      <c r="A47" s="307"/>
      <c r="B47" s="378" t="str">
        <f t="shared" si="1"/>
        <v>6 Bed</v>
      </c>
      <c r="C47" s="395">
        <f t="shared" si="1"/>
        <v>0</v>
      </c>
      <c r="D47" s="439">
        <v>0</v>
      </c>
      <c r="E47" s="440">
        <v>0</v>
      </c>
      <c r="F47" s="313">
        <f t="shared" si="3"/>
        <v>0</v>
      </c>
      <c r="G47" s="439">
        <v>0</v>
      </c>
      <c r="H47" s="440">
        <v>0</v>
      </c>
      <c r="I47" s="397">
        <f t="shared" si="4"/>
        <v>0</v>
      </c>
      <c r="J47" s="368">
        <v>0.55000000000000004</v>
      </c>
      <c r="K47" s="313">
        <f t="shared" si="5"/>
        <v>0</v>
      </c>
      <c r="L47" s="397">
        <f t="shared" si="2"/>
        <v>0</v>
      </c>
      <c r="M47" s="399"/>
      <c r="N47" s="307"/>
      <c r="O47" s="307"/>
      <c r="P47" s="307"/>
      <c r="Q47" s="307"/>
      <c r="R47" s="307"/>
      <c r="S47" s="307"/>
    </row>
    <row r="48" spans="1:19" x14ac:dyDescent="0.45">
      <c r="A48" s="307"/>
      <c r="B48" s="470"/>
      <c r="C48" s="470"/>
      <c r="D48" s="470"/>
      <c r="E48" s="470"/>
      <c r="F48" s="399"/>
      <c r="G48" s="399"/>
      <c r="H48" s="399"/>
      <c r="I48" s="399"/>
      <c r="J48" s="399"/>
      <c r="K48" s="399"/>
      <c r="L48" s="399"/>
      <c r="M48" s="399"/>
      <c r="N48" s="307"/>
      <c r="O48" s="307"/>
      <c r="P48" s="307"/>
      <c r="Q48" s="307"/>
      <c r="R48" s="307"/>
      <c r="S48" s="307"/>
    </row>
    <row r="49" spans="1:19" x14ac:dyDescent="0.45">
      <c r="A49" s="307"/>
      <c r="B49" s="367" t="s">
        <v>437</v>
      </c>
      <c r="C49" s="470"/>
      <c r="D49" s="470"/>
      <c r="E49" s="470"/>
      <c r="F49" s="399"/>
      <c r="G49" s="399"/>
      <c r="H49" s="399"/>
      <c r="I49" s="399"/>
      <c r="J49" s="399"/>
      <c r="K49" s="399"/>
      <c r="L49" s="399"/>
      <c r="M49" s="399"/>
      <c r="N49" s="307"/>
      <c r="O49" s="307"/>
      <c r="P49" s="307"/>
      <c r="Q49" s="307"/>
      <c r="R49" s="307"/>
      <c r="S49" s="307"/>
    </row>
    <row r="50" spans="1:19" x14ac:dyDescent="0.45">
      <c r="A50" s="307"/>
      <c r="B50" s="470"/>
      <c r="C50" s="470"/>
      <c r="D50" s="470"/>
      <c r="E50" s="470"/>
      <c r="F50" s="399"/>
      <c r="G50" s="399"/>
      <c r="H50" s="399"/>
      <c r="I50" s="399"/>
      <c r="J50" s="399"/>
      <c r="K50" s="399"/>
      <c r="L50" s="399"/>
      <c r="M50" s="399"/>
      <c r="N50" s="307"/>
      <c r="O50" s="307"/>
      <c r="P50" s="307"/>
      <c r="Q50" s="307"/>
      <c r="R50" s="307"/>
      <c r="S50" s="307"/>
    </row>
    <row r="51" spans="1:19" x14ac:dyDescent="0.45">
      <c r="A51" s="307"/>
      <c r="B51" s="670" t="s">
        <v>33</v>
      </c>
      <c r="C51" s="671"/>
      <c r="D51" s="671"/>
      <c r="E51" s="671"/>
      <c r="F51" s="672"/>
      <c r="G51" s="399"/>
      <c r="H51" s="399"/>
      <c r="I51" s="399"/>
      <c r="J51" s="399"/>
      <c r="K51" s="399"/>
      <c r="L51" s="399"/>
      <c r="M51" s="399"/>
      <c r="N51" s="307"/>
      <c r="O51" s="307"/>
      <c r="P51" s="307"/>
      <c r="Q51" s="307"/>
      <c r="R51" s="307"/>
      <c r="S51" s="307"/>
    </row>
    <row r="52" spans="1:19" x14ac:dyDescent="0.45">
      <c r="A52" s="307"/>
      <c r="B52" s="433" t="str">
        <f t="shared" ref="B52:C58" si="6">E15</f>
        <v xml:space="preserve">Typology </v>
      </c>
      <c r="C52" s="436" t="str">
        <f t="shared" si="6"/>
        <v xml:space="preserve">Number </v>
      </c>
      <c r="D52" s="436" t="s">
        <v>189</v>
      </c>
      <c r="E52" s="436" t="s">
        <v>187</v>
      </c>
      <c r="F52" s="434" t="s">
        <v>190</v>
      </c>
      <c r="G52" s="399"/>
      <c r="H52" s="399"/>
      <c r="I52" s="399"/>
      <c r="J52" s="399"/>
      <c r="K52" s="399"/>
      <c r="L52" s="399"/>
      <c r="M52" s="399"/>
      <c r="N52" s="307"/>
      <c r="O52" s="307"/>
      <c r="P52" s="307"/>
      <c r="Q52" s="307"/>
      <c r="R52" s="307"/>
      <c r="S52" s="307"/>
    </row>
    <row r="53" spans="1:19" x14ac:dyDescent="0.45">
      <c r="A53" s="307"/>
      <c r="B53" s="340" t="str">
        <f t="shared" si="6"/>
        <v>1 Bed</v>
      </c>
      <c r="C53" s="407">
        <f t="shared" si="6"/>
        <v>7</v>
      </c>
      <c r="D53" s="347">
        <v>4000</v>
      </c>
      <c r="E53" s="345">
        <f t="shared" ref="E53:E58" si="7">D53*G16</f>
        <v>160000</v>
      </c>
      <c r="F53" s="353">
        <f>E53*C53</f>
        <v>1120000</v>
      </c>
      <c r="G53" s="399"/>
      <c r="H53" s="399"/>
      <c r="I53" s="399"/>
      <c r="J53" s="399"/>
      <c r="K53" s="399"/>
      <c r="L53" s="399"/>
      <c r="M53" s="399"/>
      <c r="N53" s="307"/>
      <c r="O53" s="307"/>
      <c r="P53" s="307"/>
      <c r="Q53" s="307"/>
      <c r="R53" s="307"/>
      <c r="S53" s="307"/>
    </row>
    <row r="54" spans="1:19" x14ac:dyDescent="0.45">
      <c r="A54" s="307"/>
      <c r="B54" s="340" t="str">
        <f t="shared" si="6"/>
        <v>2 Bed</v>
      </c>
      <c r="C54" s="407">
        <f t="shared" si="6"/>
        <v>4</v>
      </c>
      <c r="D54" s="347">
        <v>3500</v>
      </c>
      <c r="E54" s="345">
        <f t="shared" si="7"/>
        <v>227500</v>
      </c>
      <c r="F54" s="353">
        <f>E54*C54</f>
        <v>910000</v>
      </c>
      <c r="G54" s="399"/>
      <c r="H54" s="399"/>
      <c r="I54" s="399"/>
      <c r="J54" s="399"/>
      <c r="K54" s="399"/>
      <c r="L54" s="399"/>
      <c r="M54" s="399"/>
      <c r="N54" s="307"/>
      <c r="O54" s="307"/>
      <c r="P54" s="307"/>
      <c r="Q54" s="307"/>
      <c r="R54" s="307"/>
      <c r="S54" s="307"/>
    </row>
    <row r="55" spans="1:19" x14ac:dyDescent="0.45">
      <c r="A55" s="307"/>
      <c r="B55" s="340" t="str">
        <f t="shared" si="6"/>
        <v>3 Bed</v>
      </c>
      <c r="C55" s="407">
        <f t="shared" si="6"/>
        <v>2</v>
      </c>
      <c r="D55" s="347">
        <v>3000</v>
      </c>
      <c r="E55" s="345">
        <f t="shared" si="7"/>
        <v>270000</v>
      </c>
      <c r="F55" s="353">
        <f>E55*C55</f>
        <v>540000</v>
      </c>
      <c r="G55" s="399"/>
      <c r="H55" s="399"/>
      <c r="I55" s="399"/>
      <c r="J55" s="399"/>
      <c r="K55" s="399"/>
      <c r="L55" s="399"/>
      <c r="M55" s="399"/>
      <c r="N55" s="307"/>
      <c r="O55" s="307"/>
      <c r="P55" s="307"/>
      <c r="Q55" s="307"/>
      <c r="R55" s="307"/>
      <c r="S55" s="307"/>
    </row>
    <row r="56" spans="1:19" x14ac:dyDescent="0.45">
      <c r="A56" s="307"/>
      <c r="B56" s="340" t="str">
        <f t="shared" si="6"/>
        <v>4 Bed</v>
      </c>
      <c r="C56" s="407">
        <f t="shared" si="6"/>
        <v>7</v>
      </c>
      <c r="D56" s="347">
        <v>3000</v>
      </c>
      <c r="E56" s="345">
        <f t="shared" si="7"/>
        <v>360000</v>
      </c>
      <c r="F56" s="353">
        <f>E56*C56</f>
        <v>2520000</v>
      </c>
      <c r="G56" s="399"/>
      <c r="H56" s="399"/>
      <c r="I56" s="399"/>
      <c r="J56" s="399"/>
      <c r="K56" s="399"/>
      <c r="L56" s="399"/>
      <c r="M56" s="399"/>
      <c r="N56" s="307"/>
      <c r="O56" s="307"/>
      <c r="P56" s="307"/>
      <c r="Q56" s="307"/>
      <c r="R56" s="307"/>
      <c r="S56" s="307"/>
    </row>
    <row r="57" spans="1:19" x14ac:dyDescent="0.45">
      <c r="A57" s="307"/>
      <c r="B57" s="340" t="str">
        <f t="shared" si="6"/>
        <v>5 Bed</v>
      </c>
      <c r="C57" s="407">
        <f t="shared" si="6"/>
        <v>0</v>
      </c>
      <c r="D57" s="347">
        <v>3000</v>
      </c>
      <c r="E57" s="345">
        <f t="shared" si="7"/>
        <v>0</v>
      </c>
      <c r="F57" s="353">
        <f>E57*C57</f>
        <v>0</v>
      </c>
      <c r="G57" s="399"/>
      <c r="H57" s="399"/>
      <c r="I57" s="399"/>
      <c r="J57" s="399"/>
      <c r="K57" s="399"/>
      <c r="L57" s="399"/>
      <c r="M57" s="399"/>
      <c r="N57" s="307"/>
      <c r="O57" s="307"/>
      <c r="P57" s="307"/>
      <c r="Q57" s="307"/>
      <c r="R57" s="307"/>
      <c r="S57" s="307"/>
    </row>
    <row r="58" spans="1:19" x14ac:dyDescent="0.45">
      <c r="A58" s="307"/>
      <c r="B58" s="340" t="str">
        <f t="shared" si="6"/>
        <v>6 Bed</v>
      </c>
      <c r="C58" s="407">
        <f t="shared" si="6"/>
        <v>0</v>
      </c>
      <c r="D58" s="347">
        <v>0</v>
      </c>
      <c r="E58" s="345">
        <f t="shared" si="7"/>
        <v>0</v>
      </c>
      <c r="F58" s="353">
        <f t="shared" ref="F58" si="8">E58*C58</f>
        <v>0</v>
      </c>
      <c r="G58" s="399"/>
      <c r="H58" s="399"/>
      <c r="I58" s="399"/>
      <c r="J58" s="399"/>
      <c r="K58" s="399"/>
      <c r="L58" s="399"/>
      <c r="M58" s="399"/>
      <c r="N58" s="307"/>
      <c r="O58" s="307"/>
      <c r="P58" s="307"/>
      <c r="Q58" s="307"/>
      <c r="R58" s="307"/>
      <c r="S58" s="307"/>
    </row>
    <row r="59" spans="1:19" x14ac:dyDescent="0.45">
      <c r="A59" s="307"/>
      <c r="B59" s="480" t="s">
        <v>191</v>
      </c>
      <c r="C59" s="476"/>
      <c r="D59" s="477"/>
      <c r="E59" s="478">
        <v>0.15</v>
      </c>
      <c r="F59" s="479">
        <f>SUM($F$53:$F$58)*E59</f>
        <v>763500</v>
      </c>
      <c r="G59" s="399"/>
      <c r="H59" s="399"/>
      <c r="I59" s="399"/>
      <c r="J59" s="399"/>
      <c r="K59" s="399"/>
      <c r="L59" s="399"/>
      <c r="M59" s="399"/>
      <c r="N59" s="307"/>
      <c r="O59" s="307"/>
      <c r="P59" s="307"/>
      <c r="Q59" s="307"/>
      <c r="R59" s="307"/>
      <c r="S59" s="307"/>
    </row>
    <row r="60" spans="1:19" x14ac:dyDescent="0.45">
      <c r="A60" s="307"/>
      <c r="B60" s="394"/>
      <c r="C60" s="414"/>
      <c r="D60" s="313"/>
      <c r="E60" s="313"/>
      <c r="F60" s="26">
        <f>SUM($F$53:$F$59)</f>
        <v>5853500</v>
      </c>
      <c r="G60" s="399"/>
      <c r="H60" s="399"/>
      <c r="I60" s="399"/>
      <c r="J60" s="399"/>
      <c r="K60" s="399"/>
      <c r="L60" s="399"/>
      <c r="M60" s="399"/>
      <c r="N60" s="307"/>
      <c r="O60" s="307"/>
      <c r="P60" s="307"/>
      <c r="Q60" s="307"/>
      <c r="R60" s="307"/>
      <c r="S60" s="307"/>
    </row>
    <row r="61" spans="1:19" x14ac:dyDescent="0.45">
      <c r="A61" s="307"/>
      <c r="B61" s="470"/>
      <c r="C61" s="470"/>
      <c r="D61" s="470"/>
      <c r="E61" s="470"/>
      <c r="F61" s="399"/>
      <c r="G61" s="399"/>
      <c r="H61" s="399"/>
      <c r="I61" s="399"/>
      <c r="J61" s="399"/>
      <c r="K61" s="399"/>
      <c r="L61" s="399"/>
      <c r="M61" s="399"/>
      <c r="N61" s="307"/>
      <c r="O61" s="307"/>
      <c r="P61" s="307"/>
      <c r="Q61" s="307"/>
      <c r="R61" s="307"/>
      <c r="S61" s="307"/>
    </row>
    <row r="62" spans="1:19" x14ac:dyDescent="0.45">
      <c r="A62" s="307"/>
      <c r="B62" s="367" t="s">
        <v>438</v>
      </c>
      <c r="C62" s="470"/>
      <c r="D62" s="470"/>
      <c r="E62" s="470"/>
      <c r="F62" s="399"/>
      <c r="G62" s="399"/>
      <c r="H62" s="399"/>
      <c r="I62" s="399"/>
      <c r="J62" s="399"/>
      <c r="K62" s="399"/>
      <c r="L62" s="399"/>
      <c r="M62" s="399"/>
      <c r="N62" s="307"/>
      <c r="O62" s="307"/>
      <c r="P62" s="307"/>
      <c r="Q62" s="307"/>
      <c r="R62" s="307"/>
      <c r="S62" s="307"/>
    </row>
    <row r="63" spans="1:19" x14ac:dyDescent="0.45">
      <c r="A63" s="307"/>
      <c r="B63" s="470"/>
      <c r="C63" s="470"/>
      <c r="D63" s="470"/>
      <c r="E63" s="470"/>
      <c r="F63" s="399"/>
      <c r="G63" s="399"/>
      <c r="H63" s="399"/>
      <c r="I63" s="399"/>
      <c r="J63" s="399"/>
      <c r="K63" s="399"/>
      <c r="L63" s="399"/>
      <c r="M63" s="399"/>
      <c r="N63" s="307"/>
      <c r="O63" s="307"/>
      <c r="P63" s="307"/>
      <c r="Q63" s="307"/>
      <c r="R63" s="307"/>
      <c r="S63" s="307"/>
    </row>
    <row r="64" spans="1:19" x14ac:dyDescent="0.45">
      <c r="A64" s="307"/>
      <c r="B64" s="257"/>
      <c r="C64" s="258" t="s">
        <v>192</v>
      </c>
      <c r="D64" s="258" t="s">
        <v>193</v>
      </c>
      <c r="E64" s="258" t="s">
        <v>194</v>
      </c>
      <c r="F64" s="259" t="s">
        <v>188</v>
      </c>
      <c r="G64" s="469"/>
      <c r="H64" s="307"/>
      <c r="I64" s="307"/>
      <c r="J64" s="307"/>
      <c r="K64" s="307"/>
      <c r="L64" s="27"/>
      <c r="M64" s="27"/>
      <c r="N64" s="307"/>
      <c r="O64" s="307"/>
      <c r="P64" s="307"/>
      <c r="Q64" s="307"/>
      <c r="R64" s="307"/>
      <c r="S64" s="307"/>
    </row>
    <row r="65" spans="1:19" x14ac:dyDescent="0.45">
      <c r="A65" s="307"/>
      <c r="B65" s="28" t="s">
        <v>195</v>
      </c>
      <c r="C65" s="469"/>
      <c r="D65" s="469"/>
      <c r="E65" s="469"/>
      <c r="F65" s="29"/>
      <c r="G65" s="469"/>
      <c r="H65" s="307"/>
      <c r="I65" s="307"/>
      <c r="J65" s="307"/>
      <c r="K65" s="307"/>
      <c r="L65" s="27"/>
      <c r="M65" s="27"/>
      <c r="N65" s="307"/>
      <c r="O65" s="307"/>
      <c r="P65" s="307"/>
      <c r="Q65" s="307"/>
      <c r="R65" s="307"/>
      <c r="S65" s="307"/>
    </row>
    <row r="66" spans="1:19" ht="17.25" x14ac:dyDescent="0.85">
      <c r="A66" s="307"/>
      <c r="B66" s="30" t="s">
        <v>196</v>
      </c>
      <c r="C66" s="31"/>
      <c r="D66" s="32"/>
      <c r="E66" s="32"/>
      <c r="F66" s="402"/>
      <c r="G66" s="307"/>
      <c r="H66" s="307"/>
      <c r="I66" s="307"/>
      <c r="J66" s="307"/>
      <c r="K66" s="307"/>
      <c r="L66" s="34"/>
      <c r="M66" s="35"/>
      <c r="N66" s="307"/>
      <c r="O66" s="307"/>
      <c r="P66" s="307"/>
      <c r="Q66" s="307"/>
      <c r="R66" s="307"/>
      <c r="S66" s="307"/>
    </row>
    <row r="67" spans="1:19" x14ac:dyDescent="0.45">
      <c r="A67" s="307"/>
      <c r="B67" s="36" t="s">
        <v>197</v>
      </c>
      <c r="C67" s="37"/>
      <c r="D67" s="38">
        <v>1000000</v>
      </c>
      <c r="E67" s="37">
        <v>1</v>
      </c>
      <c r="F67" s="39">
        <f>$D$67*$E$67</f>
        <v>1000000</v>
      </c>
      <c r="G67" s="40"/>
      <c r="H67" s="307"/>
      <c r="I67" s="307"/>
      <c r="J67" s="307"/>
      <c r="K67" s="307"/>
      <c r="L67" s="41"/>
      <c r="M67" s="42"/>
      <c r="N67" s="307"/>
      <c r="O67" s="307"/>
      <c r="P67" s="307"/>
      <c r="Q67" s="307"/>
      <c r="R67" s="307"/>
      <c r="S67" s="307"/>
    </row>
    <row r="68" spans="1:19" x14ac:dyDescent="0.45">
      <c r="A68" s="307"/>
      <c r="B68" s="36" t="s">
        <v>198</v>
      </c>
      <c r="C68" s="37"/>
      <c r="D68" s="38">
        <v>10000</v>
      </c>
      <c r="E68" s="37">
        <v>1</v>
      </c>
      <c r="F68" s="39">
        <f>$D$68*$E$68</f>
        <v>10000</v>
      </c>
      <c r="G68" s="40"/>
      <c r="H68" s="307"/>
      <c r="I68" s="307"/>
      <c r="J68" s="307"/>
      <c r="K68" s="307"/>
      <c r="L68" s="41"/>
      <c r="M68" s="42"/>
      <c r="N68" s="307"/>
      <c r="O68" s="307"/>
      <c r="P68" s="307"/>
      <c r="Q68" s="307"/>
      <c r="R68" s="307"/>
      <c r="S68" s="307"/>
    </row>
    <row r="69" spans="1:19" ht="15.75" x14ac:dyDescent="0.65">
      <c r="A69" s="307"/>
      <c r="B69" s="552" t="s">
        <v>199</v>
      </c>
      <c r="C69" s="307"/>
      <c r="D69" s="399"/>
      <c r="E69" s="470"/>
      <c r="F69" s="44">
        <f>F67+$F$68</f>
        <v>1010000</v>
      </c>
      <c r="G69" s="45"/>
      <c r="H69" s="307"/>
      <c r="I69" s="307"/>
      <c r="J69" s="307"/>
      <c r="K69" s="307"/>
      <c r="L69" s="41"/>
      <c r="M69" s="46"/>
      <c r="N69" s="307"/>
      <c r="O69" s="307"/>
      <c r="P69" s="307"/>
      <c r="Q69" s="307"/>
      <c r="R69" s="307"/>
      <c r="S69" s="307"/>
    </row>
    <row r="70" spans="1:19" ht="16.5" x14ac:dyDescent="0.75">
      <c r="A70" s="307"/>
      <c r="B70" s="47" t="s">
        <v>200</v>
      </c>
      <c r="C70" s="48"/>
      <c r="D70" s="49"/>
      <c r="E70" s="50"/>
      <c r="F70" s="51"/>
      <c r="G70" s="52"/>
      <c r="H70" s="307"/>
      <c r="I70" s="307"/>
      <c r="J70" s="307"/>
      <c r="K70" s="307"/>
      <c r="L70" s="41"/>
      <c r="M70" s="46"/>
      <c r="N70" s="307"/>
      <c r="O70" s="307"/>
      <c r="P70" s="307"/>
      <c r="Q70" s="307"/>
      <c r="R70" s="307"/>
      <c r="S70" s="307"/>
    </row>
    <row r="71" spans="1:19" x14ac:dyDescent="0.45">
      <c r="A71" s="307"/>
      <c r="B71" s="308" t="s">
        <v>201</v>
      </c>
      <c r="C71" s="309"/>
      <c r="D71" s="38">
        <v>50000</v>
      </c>
      <c r="E71" s="309">
        <v>1</v>
      </c>
      <c r="F71" s="39">
        <f>$D71*$E71</f>
        <v>50000</v>
      </c>
      <c r="G71" s="52"/>
      <c r="H71" s="307"/>
      <c r="I71" s="307"/>
      <c r="J71" s="307"/>
      <c r="K71" s="307"/>
      <c r="L71" s="307"/>
      <c r="M71" s="54"/>
      <c r="N71" s="307"/>
      <c r="O71" s="307"/>
      <c r="P71" s="307"/>
      <c r="Q71" s="307"/>
      <c r="R71" s="307"/>
      <c r="S71" s="307"/>
    </row>
    <row r="72" spans="1:19" x14ac:dyDescent="0.45">
      <c r="A72" s="307"/>
      <c r="B72" s="308" t="s">
        <v>202</v>
      </c>
      <c r="C72" s="309"/>
      <c r="D72" s="38">
        <v>10000</v>
      </c>
      <c r="E72" s="309">
        <v>1</v>
      </c>
      <c r="F72" s="39">
        <f t="shared" ref="F72:F82" si="9">$D72*$E72</f>
        <v>10000</v>
      </c>
      <c r="G72" s="52"/>
      <c r="H72" s="307"/>
      <c r="I72" s="55"/>
      <c r="J72" s="56"/>
      <c r="K72" s="41"/>
      <c r="L72" s="307"/>
      <c r="M72" s="54"/>
      <c r="N72" s="307"/>
      <c r="O72" s="307"/>
      <c r="P72" s="307"/>
      <c r="Q72" s="307"/>
      <c r="R72" s="307"/>
      <c r="S72" s="307"/>
    </row>
    <row r="73" spans="1:19" x14ac:dyDescent="0.45">
      <c r="A73" s="307"/>
      <c r="B73" s="308" t="s">
        <v>203</v>
      </c>
      <c r="C73" s="309"/>
      <c r="D73" s="38">
        <v>50000</v>
      </c>
      <c r="E73" s="309">
        <v>1</v>
      </c>
      <c r="F73" s="39">
        <f t="shared" si="9"/>
        <v>50000</v>
      </c>
      <c r="G73" s="52"/>
      <c r="H73" s="307"/>
      <c r="I73" s="55"/>
      <c r="J73" s="56"/>
      <c r="K73" s="41"/>
      <c r="L73" s="307"/>
      <c r="M73" s="54"/>
      <c r="N73" s="307"/>
      <c r="O73" s="307"/>
      <c r="P73" s="307"/>
      <c r="Q73" s="307"/>
      <c r="R73" s="307"/>
      <c r="S73" s="307"/>
    </row>
    <row r="74" spans="1:19" x14ac:dyDescent="0.45">
      <c r="A74" s="307"/>
      <c r="B74" s="308" t="s">
        <v>204</v>
      </c>
      <c r="C74" s="309"/>
      <c r="D74" s="38">
        <v>10000</v>
      </c>
      <c r="E74" s="309">
        <v>1</v>
      </c>
      <c r="F74" s="39">
        <f t="shared" si="9"/>
        <v>10000</v>
      </c>
      <c r="G74" s="52"/>
      <c r="H74" s="307"/>
      <c r="I74" s="55"/>
      <c r="J74" s="56"/>
      <c r="K74" s="41"/>
      <c r="L74" s="307"/>
      <c r="M74" s="54"/>
      <c r="N74" s="307"/>
      <c r="O74" s="307"/>
      <c r="P74" s="307"/>
      <c r="Q74" s="307"/>
      <c r="R74" s="307"/>
      <c r="S74" s="307"/>
    </row>
    <row r="75" spans="1:19" x14ac:dyDescent="0.45">
      <c r="A75" s="307"/>
      <c r="B75" s="308" t="s">
        <v>205</v>
      </c>
      <c r="C75" s="309"/>
      <c r="D75" s="38">
        <v>50000</v>
      </c>
      <c r="E75" s="309">
        <v>1</v>
      </c>
      <c r="F75" s="39">
        <f t="shared" si="9"/>
        <v>50000</v>
      </c>
      <c r="G75" s="52"/>
      <c r="H75" s="307"/>
      <c r="I75" s="55"/>
      <c r="J75" s="56"/>
      <c r="K75" s="41"/>
      <c r="L75" s="307"/>
      <c r="M75" s="54"/>
      <c r="N75" s="307"/>
      <c r="O75" s="307"/>
      <c r="P75" s="307"/>
      <c r="Q75" s="307"/>
      <c r="R75" s="307"/>
      <c r="S75" s="307"/>
    </row>
    <row r="76" spans="1:19" x14ac:dyDescent="0.45">
      <c r="A76" s="307"/>
      <c r="B76" s="308" t="s">
        <v>206</v>
      </c>
      <c r="C76" s="309"/>
      <c r="D76" s="38">
        <v>50000</v>
      </c>
      <c r="E76" s="309">
        <v>1</v>
      </c>
      <c r="F76" s="39">
        <f t="shared" si="9"/>
        <v>50000</v>
      </c>
      <c r="G76" s="52"/>
      <c r="H76" s="307"/>
      <c r="I76" s="55"/>
      <c r="J76" s="56"/>
      <c r="K76" s="41"/>
      <c r="L76" s="307"/>
      <c r="M76" s="54"/>
      <c r="N76" s="307"/>
      <c r="O76" s="307"/>
      <c r="P76" s="307"/>
      <c r="Q76" s="307"/>
      <c r="R76" s="307"/>
      <c r="S76" s="307"/>
    </row>
    <row r="77" spans="1:19" x14ac:dyDescent="0.45">
      <c r="A77" s="307"/>
      <c r="B77" s="308" t="s">
        <v>207</v>
      </c>
      <c r="C77" s="309"/>
      <c r="D77" s="38">
        <v>10000</v>
      </c>
      <c r="E77" s="309">
        <v>1</v>
      </c>
      <c r="F77" s="39">
        <f t="shared" si="9"/>
        <v>10000</v>
      </c>
      <c r="G77" s="52"/>
      <c r="H77" s="307"/>
      <c r="I77" s="55"/>
      <c r="J77" s="56"/>
      <c r="K77" s="41"/>
      <c r="L77" s="307"/>
      <c r="M77" s="54"/>
      <c r="N77" s="307"/>
      <c r="O77" s="307"/>
      <c r="P77" s="307"/>
      <c r="Q77" s="307"/>
      <c r="R77" s="307"/>
      <c r="S77" s="307"/>
    </row>
    <row r="78" spans="1:19" x14ac:dyDescent="0.45">
      <c r="A78" s="307"/>
      <c r="B78" s="308" t="s">
        <v>208</v>
      </c>
      <c r="C78" s="309"/>
      <c r="D78" s="38">
        <v>50000</v>
      </c>
      <c r="E78" s="309">
        <v>1</v>
      </c>
      <c r="F78" s="39">
        <f t="shared" si="9"/>
        <v>50000</v>
      </c>
      <c r="G78" s="52"/>
      <c r="H78" s="307"/>
      <c r="I78" s="55"/>
      <c r="J78" s="56"/>
      <c r="K78" s="41"/>
      <c r="L78" s="307"/>
      <c r="M78" s="54"/>
      <c r="N78" s="307"/>
      <c r="O78" s="307"/>
      <c r="P78" s="307"/>
      <c r="Q78" s="307"/>
      <c r="R78" s="307"/>
      <c r="S78" s="307"/>
    </row>
    <row r="79" spans="1:19" x14ac:dyDescent="0.45">
      <c r="A79" s="307"/>
      <c r="B79" s="308" t="s">
        <v>209</v>
      </c>
      <c r="C79" s="309"/>
      <c r="D79" s="38">
        <v>10000</v>
      </c>
      <c r="E79" s="309">
        <v>1</v>
      </c>
      <c r="F79" s="39">
        <f t="shared" si="9"/>
        <v>10000</v>
      </c>
      <c r="G79" s="52"/>
      <c r="H79" s="307"/>
      <c r="I79" s="55"/>
      <c r="J79" s="56"/>
      <c r="K79" s="41"/>
      <c r="L79" s="307"/>
      <c r="M79" s="54"/>
      <c r="N79" s="307"/>
      <c r="O79" s="307"/>
      <c r="P79" s="307"/>
      <c r="Q79" s="307"/>
      <c r="R79" s="307"/>
      <c r="S79" s="307"/>
    </row>
    <row r="80" spans="1:19" x14ac:dyDescent="0.45">
      <c r="A80" s="307"/>
      <c r="B80" s="308" t="s">
        <v>210</v>
      </c>
      <c r="C80" s="309"/>
      <c r="D80" s="38">
        <v>10000</v>
      </c>
      <c r="E80" s="309">
        <v>1</v>
      </c>
      <c r="F80" s="39">
        <f t="shared" si="9"/>
        <v>10000</v>
      </c>
      <c r="G80" s="52"/>
      <c r="H80" s="307"/>
      <c r="I80" s="55"/>
      <c r="J80" s="56"/>
      <c r="K80" s="41"/>
      <c r="L80" s="307"/>
      <c r="M80" s="54"/>
      <c r="N80" s="307"/>
      <c r="O80" s="307"/>
      <c r="P80" s="307"/>
      <c r="Q80" s="307"/>
      <c r="R80" s="307"/>
      <c r="S80" s="307"/>
    </row>
    <row r="81" spans="1:19" x14ac:dyDescent="0.45">
      <c r="A81" s="307"/>
      <c r="B81" s="308" t="s">
        <v>356</v>
      </c>
      <c r="C81" s="309"/>
      <c r="D81" s="38"/>
      <c r="E81" s="309"/>
      <c r="F81" s="39">
        <f t="shared" si="9"/>
        <v>0</v>
      </c>
      <c r="G81" s="52"/>
      <c r="H81" s="307"/>
      <c r="I81" s="55"/>
      <c r="J81" s="56"/>
      <c r="K81" s="41"/>
      <c r="L81" s="307"/>
      <c r="M81" s="54"/>
      <c r="N81" s="307"/>
      <c r="O81" s="307"/>
      <c r="P81" s="307"/>
      <c r="Q81" s="307"/>
      <c r="R81" s="307"/>
      <c r="S81" s="307"/>
    </row>
    <row r="82" spans="1:19" x14ac:dyDescent="0.45">
      <c r="A82" s="307"/>
      <c r="B82" s="308" t="s">
        <v>356</v>
      </c>
      <c r="C82" s="309"/>
      <c r="D82" s="38"/>
      <c r="E82" s="309"/>
      <c r="F82" s="39">
        <f t="shared" si="9"/>
        <v>0</v>
      </c>
      <c r="G82" s="52"/>
      <c r="H82" s="307"/>
      <c r="I82" s="55"/>
      <c r="J82" s="56"/>
      <c r="K82" s="41"/>
      <c r="L82" s="307"/>
      <c r="M82" s="54"/>
      <c r="N82" s="307"/>
      <c r="O82" s="307"/>
      <c r="P82" s="307"/>
      <c r="Q82" s="307"/>
      <c r="R82" s="307"/>
      <c r="S82" s="307"/>
    </row>
    <row r="83" spans="1:19" x14ac:dyDescent="0.45">
      <c r="A83" s="307"/>
      <c r="B83" s="53" t="s">
        <v>364</v>
      </c>
      <c r="C83" s="474"/>
      <c r="D83" s="475"/>
      <c r="E83" s="473">
        <v>0.2</v>
      </c>
      <c r="F83" s="39">
        <f>SUM($F$71:$F$82)*E83</f>
        <v>60000</v>
      </c>
      <c r="G83" s="52"/>
      <c r="H83" s="307"/>
      <c r="I83" s="55"/>
      <c r="J83" s="56"/>
      <c r="K83" s="41"/>
      <c r="L83" s="307"/>
      <c r="M83" s="54"/>
      <c r="N83" s="307"/>
      <c r="O83" s="307"/>
      <c r="P83" s="307"/>
      <c r="Q83" s="307"/>
      <c r="R83" s="307"/>
      <c r="S83" s="307"/>
    </row>
    <row r="84" spans="1:19" x14ac:dyDescent="0.45">
      <c r="A84" s="307"/>
      <c r="B84" s="43" t="s">
        <v>211</v>
      </c>
      <c r="C84" s="57"/>
      <c r="D84" s="58"/>
      <c r="E84" s="59"/>
      <c r="F84" s="60">
        <f>SUM($F$71:$F$83)</f>
        <v>360000</v>
      </c>
      <c r="G84" s="45"/>
      <c r="H84" s="307"/>
      <c r="I84" s="441"/>
      <c r="J84" s="62"/>
      <c r="K84" s="34"/>
      <c r="L84" s="14"/>
      <c r="M84" s="63"/>
      <c r="N84" s="307"/>
      <c r="O84" s="307"/>
      <c r="P84" s="307"/>
      <c r="Q84" s="307"/>
      <c r="R84" s="307"/>
      <c r="S84" s="307"/>
    </row>
    <row r="85" spans="1:19" x14ac:dyDescent="0.45">
      <c r="A85" s="307"/>
      <c r="B85" s="47" t="s">
        <v>36</v>
      </c>
      <c r="C85" s="64"/>
      <c r="D85" s="65" t="s">
        <v>212</v>
      </c>
      <c r="E85" s="416"/>
      <c r="F85" s="442"/>
      <c r="G85" s="52"/>
      <c r="H85" s="307"/>
      <c r="I85" s="307"/>
      <c r="J85" s="307"/>
      <c r="K85" s="66"/>
      <c r="L85" s="307"/>
      <c r="M85" s="307"/>
      <c r="N85" s="307"/>
      <c r="O85" s="307"/>
      <c r="P85" s="307"/>
      <c r="Q85" s="307"/>
      <c r="R85" s="307"/>
      <c r="S85" s="307"/>
    </row>
    <row r="86" spans="1:19" x14ac:dyDescent="0.45">
      <c r="A86" s="307"/>
      <c r="B86" s="53" t="s">
        <v>213</v>
      </c>
      <c r="C86" s="37"/>
      <c r="D86" s="38">
        <v>10000</v>
      </c>
      <c r="E86" s="37">
        <v>1</v>
      </c>
      <c r="F86" s="39">
        <f>$D86*$E86</f>
        <v>10000</v>
      </c>
      <c r="G86" s="40"/>
      <c r="H86" s="307"/>
      <c r="I86" s="55"/>
      <c r="J86" s="56"/>
      <c r="K86" s="41"/>
      <c r="L86" s="307"/>
      <c r="M86" s="54"/>
      <c r="N86" s="307"/>
      <c r="O86" s="307"/>
      <c r="P86" s="307"/>
      <c r="Q86" s="307"/>
      <c r="R86" s="307"/>
      <c r="S86" s="307"/>
    </row>
    <row r="87" spans="1:19" x14ac:dyDescent="0.45">
      <c r="A87" s="307"/>
      <c r="B87" s="53" t="s">
        <v>214</v>
      </c>
      <c r="C87" s="37"/>
      <c r="D87" s="38">
        <v>1000</v>
      </c>
      <c r="E87" s="37">
        <v>1</v>
      </c>
      <c r="F87" s="39">
        <f t="shared" ref="F87:F96" si="10">$D87*$E87</f>
        <v>1000</v>
      </c>
      <c r="G87" s="40"/>
      <c r="H87" s="307"/>
      <c r="I87" s="55"/>
      <c r="J87" s="56"/>
      <c r="K87" s="41"/>
      <c r="L87" s="307"/>
      <c r="M87" s="54"/>
      <c r="N87" s="307"/>
      <c r="O87" s="307"/>
      <c r="P87" s="307"/>
      <c r="Q87" s="307"/>
      <c r="R87" s="307"/>
      <c r="S87" s="307"/>
    </row>
    <row r="88" spans="1:19" x14ac:dyDescent="0.45">
      <c r="A88" s="307"/>
      <c r="B88" s="53" t="s">
        <v>215</v>
      </c>
      <c r="C88" s="37"/>
      <c r="D88" s="38">
        <v>15000</v>
      </c>
      <c r="E88" s="37">
        <v>1</v>
      </c>
      <c r="F88" s="39">
        <f t="shared" si="10"/>
        <v>15000</v>
      </c>
      <c r="G88" s="40"/>
      <c r="H88" s="307"/>
      <c r="I88" s="55"/>
      <c r="J88" s="56"/>
      <c r="K88" s="41"/>
      <c r="L88" s="307"/>
      <c r="M88" s="54"/>
      <c r="N88" s="307"/>
      <c r="O88" s="307"/>
      <c r="P88" s="307"/>
      <c r="Q88" s="307"/>
      <c r="R88" s="307"/>
      <c r="S88" s="307"/>
    </row>
    <row r="89" spans="1:19" x14ac:dyDescent="0.45">
      <c r="A89" s="307"/>
      <c r="B89" s="53" t="s">
        <v>216</v>
      </c>
      <c r="C89" s="37"/>
      <c r="D89" s="38">
        <v>10000</v>
      </c>
      <c r="E89" s="37">
        <v>1</v>
      </c>
      <c r="F89" s="39">
        <f t="shared" si="10"/>
        <v>10000</v>
      </c>
      <c r="G89" s="40"/>
      <c r="H89" s="307"/>
      <c r="I89" s="55"/>
      <c r="J89" s="56"/>
      <c r="K89" s="41"/>
      <c r="L89" s="307"/>
      <c r="M89" s="54"/>
      <c r="N89" s="307"/>
      <c r="O89" s="307"/>
      <c r="P89" s="307"/>
      <c r="Q89" s="307"/>
      <c r="R89" s="307"/>
      <c r="S89" s="307"/>
    </row>
    <row r="90" spans="1:19" x14ac:dyDescent="0.45">
      <c r="A90" s="307"/>
      <c r="B90" s="53" t="s">
        <v>217</v>
      </c>
      <c r="C90" s="37"/>
      <c r="D90" s="38">
        <v>50000</v>
      </c>
      <c r="E90" s="37">
        <v>1</v>
      </c>
      <c r="F90" s="39">
        <f t="shared" si="10"/>
        <v>50000</v>
      </c>
      <c r="G90" s="40"/>
      <c r="H90" s="307"/>
      <c r="I90" s="55"/>
      <c r="J90" s="56"/>
      <c r="K90" s="41"/>
      <c r="L90" s="307"/>
      <c r="M90" s="54"/>
      <c r="N90" s="307"/>
      <c r="O90" s="307"/>
      <c r="P90" s="307"/>
      <c r="Q90" s="307"/>
      <c r="R90" s="307"/>
      <c r="S90" s="307"/>
    </row>
    <row r="91" spans="1:19" x14ac:dyDescent="0.45">
      <c r="A91" s="307"/>
      <c r="B91" s="53" t="s">
        <v>218</v>
      </c>
      <c r="C91" s="37"/>
      <c r="D91" s="38">
        <v>30000</v>
      </c>
      <c r="E91" s="37">
        <v>1</v>
      </c>
      <c r="F91" s="39">
        <f t="shared" si="10"/>
        <v>30000</v>
      </c>
      <c r="G91" s="40"/>
      <c r="H91" s="307"/>
      <c r="I91" s="55"/>
      <c r="J91" s="56"/>
      <c r="K91" s="41"/>
      <c r="L91" s="307"/>
      <c r="M91" s="54"/>
      <c r="N91" s="307"/>
      <c r="O91" s="307"/>
      <c r="P91" s="307"/>
      <c r="Q91" s="307"/>
      <c r="R91" s="307"/>
      <c r="S91" s="307"/>
    </row>
    <row r="92" spans="1:19" x14ac:dyDescent="0.45">
      <c r="A92" s="307"/>
      <c r="B92" s="53" t="s">
        <v>219</v>
      </c>
      <c r="C92" s="37"/>
      <c r="D92" s="38">
        <v>50000</v>
      </c>
      <c r="E92" s="37">
        <v>1</v>
      </c>
      <c r="F92" s="39">
        <f t="shared" si="10"/>
        <v>50000</v>
      </c>
      <c r="G92" s="40"/>
      <c r="H92" s="307"/>
      <c r="I92" s="55"/>
      <c r="J92" s="56"/>
      <c r="K92" s="41"/>
      <c r="L92" s="307"/>
      <c r="M92" s="54"/>
      <c r="N92" s="307"/>
      <c r="O92" s="307"/>
      <c r="P92" s="307"/>
      <c r="Q92" s="307"/>
      <c r="R92" s="307"/>
      <c r="S92" s="307"/>
    </row>
    <row r="93" spans="1:19" x14ac:dyDescent="0.45">
      <c r="A93" s="307"/>
      <c r="B93" s="53" t="s">
        <v>220</v>
      </c>
      <c r="C93" s="37"/>
      <c r="D93" s="38">
        <v>20000</v>
      </c>
      <c r="E93" s="37">
        <v>1</v>
      </c>
      <c r="F93" s="39">
        <f t="shared" si="10"/>
        <v>20000</v>
      </c>
      <c r="G93" s="40"/>
      <c r="H93" s="307"/>
      <c r="I93" s="55"/>
      <c r="J93" s="56"/>
      <c r="K93" s="41"/>
      <c r="L93" s="307"/>
      <c r="M93" s="54"/>
      <c r="N93" s="307"/>
      <c r="O93" s="307"/>
      <c r="P93" s="307"/>
      <c r="Q93" s="307"/>
      <c r="R93" s="307"/>
      <c r="S93" s="307"/>
    </row>
    <row r="94" spans="1:19" x14ac:dyDescent="0.45">
      <c r="A94" s="307"/>
      <c r="B94" s="53" t="s">
        <v>221</v>
      </c>
      <c r="C94" s="37"/>
      <c r="D94" s="38">
        <v>5000</v>
      </c>
      <c r="E94" s="37">
        <v>1</v>
      </c>
      <c r="F94" s="39">
        <f t="shared" si="10"/>
        <v>5000</v>
      </c>
      <c r="G94" s="40"/>
      <c r="H94" s="307"/>
      <c r="I94" s="55"/>
      <c r="J94" s="56"/>
      <c r="K94" s="41"/>
      <c r="L94" s="307"/>
      <c r="M94" s="54"/>
      <c r="N94" s="307"/>
      <c r="O94" s="307"/>
      <c r="P94" s="307"/>
      <c r="Q94" s="307"/>
      <c r="R94" s="307"/>
      <c r="S94" s="307"/>
    </row>
    <row r="95" spans="1:19" x14ac:dyDescent="0.45">
      <c r="A95" s="307"/>
      <c r="B95" s="53" t="s">
        <v>356</v>
      </c>
      <c r="C95" s="37"/>
      <c r="D95" s="38">
        <v>600000</v>
      </c>
      <c r="E95" s="37">
        <v>1</v>
      </c>
      <c r="F95" s="39">
        <f t="shared" si="10"/>
        <v>600000</v>
      </c>
      <c r="G95" s="40"/>
      <c r="H95" s="307"/>
      <c r="I95" s="55"/>
      <c r="J95" s="56"/>
      <c r="K95" s="41"/>
      <c r="L95" s="307"/>
      <c r="M95" s="54"/>
      <c r="N95" s="307"/>
      <c r="O95" s="307"/>
      <c r="P95" s="307"/>
      <c r="Q95" s="307"/>
      <c r="R95" s="307"/>
      <c r="S95" s="307"/>
    </row>
    <row r="96" spans="1:19" x14ac:dyDescent="0.45">
      <c r="A96" s="307"/>
      <c r="B96" s="53" t="s">
        <v>356</v>
      </c>
      <c r="C96" s="37"/>
      <c r="D96" s="38"/>
      <c r="E96" s="37"/>
      <c r="F96" s="39">
        <f t="shared" si="10"/>
        <v>0</v>
      </c>
      <c r="G96" s="40"/>
      <c r="H96" s="307"/>
      <c r="I96" s="55"/>
      <c r="J96" s="56"/>
      <c r="K96" s="41"/>
      <c r="L96" s="307"/>
      <c r="M96" s="54"/>
      <c r="N96" s="307"/>
      <c r="O96" s="307"/>
      <c r="P96" s="307"/>
      <c r="Q96" s="307"/>
      <c r="R96" s="307"/>
      <c r="S96" s="307"/>
    </row>
    <row r="97" spans="1:19" x14ac:dyDescent="0.45">
      <c r="A97" s="307"/>
      <c r="B97" s="53" t="s">
        <v>364</v>
      </c>
      <c r="C97" s="474"/>
      <c r="D97" s="475"/>
      <c r="E97" s="473">
        <v>0.05</v>
      </c>
      <c r="F97" s="39">
        <f>SUM($F$86:$F$96)*E97</f>
        <v>39550</v>
      </c>
      <c r="G97" s="40"/>
      <c r="H97" s="307"/>
      <c r="I97" s="55"/>
      <c r="J97" s="56"/>
      <c r="K97" s="41"/>
      <c r="L97" s="307"/>
      <c r="M97" s="54"/>
      <c r="N97" s="307"/>
      <c r="O97" s="307"/>
      <c r="P97" s="307"/>
      <c r="Q97" s="307"/>
      <c r="R97" s="307"/>
      <c r="S97" s="307"/>
    </row>
    <row r="98" spans="1:19" x14ac:dyDescent="0.45">
      <c r="A98" s="307"/>
      <c r="B98" s="43" t="s">
        <v>222</v>
      </c>
      <c r="C98" s="67"/>
      <c r="D98" s="68"/>
      <c r="E98" s="414"/>
      <c r="F98" s="60">
        <f>SUM($F$86:$F$97)</f>
        <v>830550</v>
      </c>
      <c r="G98" s="45"/>
      <c r="H98" s="307"/>
      <c r="I98" s="441"/>
      <c r="J98" s="62"/>
      <c r="K98" s="66"/>
      <c r="L98" s="307"/>
      <c r="M98" s="63"/>
      <c r="N98" s="307"/>
      <c r="O98" s="307"/>
      <c r="P98" s="307"/>
      <c r="Q98" s="307"/>
      <c r="R98" s="307"/>
      <c r="S98" s="307"/>
    </row>
    <row r="99" spans="1:19" x14ac:dyDescent="0.45">
      <c r="A99" s="307"/>
      <c r="B99" s="30" t="s">
        <v>223</v>
      </c>
      <c r="C99" s="69"/>
      <c r="D99" s="70"/>
      <c r="E99" s="470"/>
      <c r="F99" s="443"/>
      <c r="G99" s="52"/>
      <c r="H99" s="307"/>
      <c r="I99" s="307"/>
      <c r="J99" s="307"/>
      <c r="K99" s="66"/>
      <c r="L99" s="307"/>
      <c r="M99" s="307"/>
      <c r="N99" s="307"/>
      <c r="O99" s="307"/>
      <c r="P99" s="307"/>
      <c r="Q99" s="307"/>
      <c r="R99" s="307"/>
      <c r="S99" s="307"/>
    </row>
    <row r="100" spans="1:19" x14ac:dyDescent="0.45">
      <c r="A100" s="307"/>
      <c r="B100" s="53" t="s">
        <v>224</v>
      </c>
      <c r="C100" s="37"/>
      <c r="D100" s="38">
        <v>50000</v>
      </c>
      <c r="E100" s="37">
        <v>1</v>
      </c>
      <c r="F100" s="39">
        <f>$D100*$E100</f>
        <v>50000</v>
      </c>
      <c r="G100" s="40"/>
      <c r="H100" s="307"/>
      <c r="I100" s="55"/>
      <c r="J100" s="56"/>
      <c r="K100" s="66"/>
      <c r="L100" s="307"/>
      <c r="M100" s="54"/>
      <c r="N100" s="307"/>
      <c r="O100" s="307"/>
      <c r="P100" s="307"/>
      <c r="Q100" s="307"/>
      <c r="R100" s="307"/>
      <c r="S100" s="307"/>
    </row>
    <row r="101" spans="1:19" x14ac:dyDescent="0.45">
      <c r="A101" s="307"/>
      <c r="B101" s="53" t="s">
        <v>225</v>
      </c>
      <c r="C101" s="37"/>
      <c r="D101" s="38">
        <v>50000</v>
      </c>
      <c r="E101" s="37">
        <v>1</v>
      </c>
      <c r="F101" s="39">
        <f t="shared" ref="F101:F106" si="11">$D101*$E101</f>
        <v>50000</v>
      </c>
      <c r="G101" s="40"/>
      <c r="H101" s="307"/>
      <c r="I101" s="55"/>
      <c r="J101" s="56"/>
      <c r="K101" s="66"/>
      <c r="L101" s="307"/>
      <c r="M101" s="54"/>
      <c r="N101" s="307"/>
      <c r="O101" s="307"/>
      <c r="P101" s="307"/>
      <c r="Q101" s="307"/>
      <c r="R101" s="307"/>
      <c r="S101" s="307"/>
    </row>
    <row r="102" spans="1:19" x14ac:dyDescent="0.45">
      <c r="A102" s="307"/>
      <c r="B102" s="53" t="s">
        <v>226</v>
      </c>
      <c r="C102" s="37"/>
      <c r="D102" s="38">
        <v>25000</v>
      </c>
      <c r="E102" s="37">
        <v>1</v>
      </c>
      <c r="F102" s="39">
        <f t="shared" si="11"/>
        <v>25000</v>
      </c>
      <c r="G102" s="40"/>
      <c r="H102" s="307"/>
      <c r="I102" s="55"/>
      <c r="J102" s="56"/>
      <c r="K102" s="66"/>
      <c r="L102" s="307"/>
      <c r="M102" s="54"/>
      <c r="N102" s="307"/>
      <c r="O102" s="307"/>
      <c r="P102" s="307"/>
      <c r="Q102" s="307"/>
      <c r="R102" s="307"/>
      <c r="S102" s="307"/>
    </row>
    <row r="103" spans="1:19" x14ac:dyDescent="0.45">
      <c r="A103" s="307"/>
      <c r="B103" s="53" t="s">
        <v>227</v>
      </c>
      <c r="C103" s="37"/>
      <c r="D103" s="38">
        <v>15000</v>
      </c>
      <c r="E103" s="37">
        <v>15</v>
      </c>
      <c r="F103" s="39">
        <f t="shared" si="11"/>
        <v>225000</v>
      </c>
      <c r="G103" s="40"/>
      <c r="H103" s="307"/>
      <c r="I103" s="55"/>
      <c r="J103" s="56"/>
      <c r="K103" s="66"/>
      <c r="L103" s="307"/>
      <c r="M103" s="54"/>
      <c r="N103" s="307"/>
      <c r="O103" s="307"/>
      <c r="P103" s="307"/>
      <c r="Q103" s="307"/>
      <c r="R103" s="307"/>
      <c r="S103" s="307"/>
    </row>
    <row r="104" spans="1:19" x14ac:dyDescent="0.45">
      <c r="A104" s="307"/>
      <c r="B104" s="53" t="s">
        <v>228</v>
      </c>
      <c r="C104" s="37"/>
      <c r="D104" s="38">
        <v>10000</v>
      </c>
      <c r="E104" s="37">
        <v>1</v>
      </c>
      <c r="F104" s="39">
        <f t="shared" si="11"/>
        <v>10000</v>
      </c>
      <c r="G104" s="40"/>
      <c r="H104" s="307"/>
      <c r="I104" s="55"/>
      <c r="J104" s="56"/>
      <c r="K104" s="66"/>
      <c r="L104" s="307"/>
      <c r="M104" s="54"/>
      <c r="N104" s="307"/>
      <c r="O104" s="307"/>
      <c r="P104" s="307"/>
      <c r="Q104" s="307"/>
      <c r="R104" s="307"/>
      <c r="S104" s="307"/>
    </row>
    <row r="105" spans="1:19" x14ac:dyDescent="0.45">
      <c r="A105" s="307"/>
      <c r="B105" s="53" t="s">
        <v>356</v>
      </c>
      <c r="C105" s="37"/>
      <c r="D105" s="38"/>
      <c r="E105" s="37"/>
      <c r="F105" s="39">
        <f t="shared" si="11"/>
        <v>0</v>
      </c>
      <c r="G105" s="40"/>
      <c r="H105" s="307"/>
      <c r="I105" s="55"/>
      <c r="J105" s="56"/>
      <c r="K105" s="41"/>
      <c r="L105" s="307"/>
      <c r="M105" s="54"/>
      <c r="N105" s="307"/>
      <c r="O105" s="307"/>
      <c r="P105" s="307"/>
      <c r="Q105" s="307"/>
      <c r="R105" s="307"/>
      <c r="S105" s="307"/>
    </row>
    <row r="106" spans="1:19" x14ac:dyDescent="0.45">
      <c r="A106" s="307"/>
      <c r="B106" s="53" t="s">
        <v>356</v>
      </c>
      <c r="C106" s="37"/>
      <c r="D106" s="38"/>
      <c r="E106" s="37"/>
      <c r="F106" s="39">
        <f t="shared" si="11"/>
        <v>0</v>
      </c>
      <c r="G106" s="40"/>
      <c r="H106" s="307"/>
      <c r="I106" s="55"/>
      <c r="J106" s="56"/>
      <c r="K106" s="41"/>
      <c r="L106" s="307"/>
      <c r="M106" s="54"/>
      <c r="N106" s="307"/>
      <c r="O106" s="307"/>
      <c r="P106" s="307"/>
      <c r="Q106" s="307"/>
      <c r="R106" s="307"/>
      <c r="S106" s="307"/>
    </row>
    <row r="107" spans="1:19" x14ac:dyDescent="0.45">
      <c r="A107" s="307"/>
      <c r="B107" s="53" t="s">
        <v>364</v>
      </c>
      <c r="C107" s="474"/>
      <c r="D107" s="475"/>
      <c r="E107" s="473">
        <v>0.15</v>
      </c>
      <c r="F107" s="39">
        <f>SUM($F$100:$F$106)*E107</f>
        <v>54000</v>
      </c>
      <c r="G107" s="40"/>
      <c r="H107" s="307"/>
      <c r="I107" s="55"/>
      <c r="J107" s="56"/>
      <c r="K107" s="41"/>
      <c r="L107" s="307"/>
      <c r="M107" s="54"/>
      <c r="N107" s="307"/>
      <c r="O107" s="307"/>
      <c r="P107" s="307"/>
      <c r="Q107" s="307"/>
      <c r="R107" s="307"/>
      <c r="S107" s="307"/>
    </row>
    <row r="108" spans="1:19" x14ac:dyDescent="0.45">
      <c r="A108" s="307"/>
      <c r="B108" s="71" t="s">
        <v>229</v>
      </c>
      <c r="C108" s="69"/>
      <c r="D108" s="69"/>
      <c r="E108" s="470"/>
      <c r="F108" s="44">
        <f>SUM($F$100:$F$107)</f>
        <v>414000</v>
      </c>
      <c r="G108" s="45"/>
      <c r="H108" s="307"/>
      <c r="I108" s="441"/>
      <c r="J108" s="72"/>
      <c r="K108" s="66"/>
      <c r="L108" s="307"/>
      <c r="M108" s="54"/>
      <c r="N108" s="307"/>
      <c r="O108" s="307"/>
      <c r="P108" s="307"/>
      <c r="Q108" s="307"/>
      <c r="R108" s="307"/>
      <c r="S108" s="307"/>
    </row>
    <row r="109" spans="1:19" x14ac:dyDescent="0.45">
      <c r="A109" s="307"/>
      <c r="B109" s="30"/>
      <c r="C109" s="74"/>
      <c r="D109" s="73"/>
      <c r="E109" s="470"/>
      <c r="F109" s="44"/>
      <c r="G109" s="45"/>
      <c r="H109" s="307"/>
      <c r="I109" s="441"/>
      <c r="J109" s="56"/>
      <c r="K109" s="66"/>
      <c r="L109" s="307"/>
      <c r="M109" s="63"/>
      <c r="N109" s="307"/>
      <c r="O109" s="307"/>
      <c r="P109" s="307"/>
      <c r="Q109" s="307"/>
      <c r="R109" s="307"/>
      <c r="S109" s="307"/>
    </row>
    <row r="110" spans="1:19" x14ac:dyDescent="0.45">
      <c r="A110" s="307"/>
      <c r="B110" s="75" t="s">
        <v>230</v>
      </c>
      <c r="C110" s="76"/>
      <c r="D110" s="77"/>
      <c r="E110" s="444"/>
      <c r="F110" s="78">
        <f>$F$69+$F$84+$F$98+$F$108</f>
        <v>2614550</v>
      </c>
      <c r="G110" s="79"/>
      <c r="H110" s="80"/>
      <c r="I110" s="80"/>
      <c r="J110" s="80"/>
      <c r="K110" s="66"/>
      <c r="L110" s="307"/>
      <c r="M110" s="81"/>
      <c r="N110" s="307"/>
      <c r="O110" s="307"/>
      <c r="P110" s="307"/>
      <c r="Q110" s="307"/>
      <c r="R110" s="307"/>
      <c r="S110" s="307"/>
    </row>
    <row r="111" spans="1:19" x14ac:dyDescent="0.45">
      <c r="A111" s="307"/>
      <c r="B111" s="719" t="s">
        <v>231</v>
      </c>
      <c r="C111" s="720"/>
      <c r="D111" s="720"/>
      <c r="E111" s="720"/>
      <c r="F111" s="721"/>
      <c r="G111" s="79"/>
      <c r="H111" s="80"/>
      <c r="I111" s="80"/>
      <c r="J111" s="80"/>
      <c r="K111" s="66"/>
      <c r="L111" s="307"/>
      <c r="M111" s="81"/>
      <c r="N111" s="307"/>
      <c r="O111" s="307"/>
      <c r="P111" s="307"/>
      <c r="Q111" s="307"/>
      <c r="R111" s="307"/>
      <c r="S111" s="307"/>
    </row>
    <row r="112" spans="1:19" x14ac:dyDescent="0.45">
      <c r="A112" s="307"/>
      <c r="B112" s="250" t="s">
        <v>232</v>
      </c>
      <c r="C112" s="251"/>
      <c r="D112" s="110" t="s">
        <v>167</v>
      </c>
      <c r="E112" s="252" t="s">
        <v>233</v>
      </c>
      <c r="F112" s="253" t="s">
        <v>17</v>
      </c>
      <c r="G112" s="307"/>
      <c r="H112" s="307"/>
      <c r="I112" s="307"/>
      <c r="J112" s="307"/>
      <c r="K112" s="307"/>
      <c r="L112" s="307"/>
      <c r="M112" s="307"/>
      <c r="N112" s="307"/>
      <c r="O112" s="307"/>
      <c r="P112" s="307"/>
      <c r="Q112" s="307"/>
      <c r="R112" s="307"/>
      <c r="S112" s="307"/>
    </row>
    <row r="113" spans="1:19" x14ac:dyDescent="0.45">
      <c r="A113" s="307"/>
      <c r="B113" s="340" t="str">
        <f>B70</f>
        <v>Site Civils &amp; Infrastructure</v>
      </c>
      <c r="C113" s="341"/>
      <c r="D113" s="103">
        <f>$F$84</f>
        <v>360000</v>
      </c>
      <c r="E113" s="82">
        <f>D113/($F$60+$F$84+$F$98+$F$108)</f>
        <v>4.8269990144877012E-2</v>
      </c>
      <c r="F113" s="311" t="s">
        <v>234</v>
      </c>
      <c r="G113" s="307"/>
      <c r="H113" s="307"/>
      <c r="I113" s="307"/>
      <c r="J113" s="307"/>
      <c r="K113" s="307"/>
      <c r="L113" s="307"/>
      <c r="M113" s="307"/>
      <c r="N113" s="307"/>
      <c r="O113" s="307"/>
      <c r="P113" s="307"/>
      <c r="Q113" s="307"/>
      <c r="R113" s="307"/>
      <c r="S113" s="307"/>
    </row>
    <row r="114" spans="1:19" x14ac:dyDescent="0.45">
      <c r="A114" s="307"/>
      <c r="B114" s="340" t="str">
        <f>B85</f>
        <v>Professional Fees</v>
      </c>
      <c r="C114" s="341"/>
      <c r="D114" s="103">
        <f>$F$98</f>
        <v>830550</v>
      </c>
      <c r="E114" s="82">
        <f>D114/($F$60+$F$84+$F$98+$F$108)</f>
        <v>0.11136288976341001</v>
      </c>
      <c r="F114" s="312">
        <v>0.125</v>
      </c>
      <c r="G114" s="307"/>
      <c r="H114" s="307"/>
      <c r="I114" s="307"/>
      <c r="J114" s="307"/>
      <c r="K114" s="307"/>
      <c r="L114" s="307"/>
      <c r="M114" s="307"/>
      <c r="N114" s="307"/>
      <c r="O114" s="307"/>
      <c r="P114" s="307"/>
      <c r="Q114" s="307"/>
      <c r="R114" s="307"/>
      <c r="S114" s="307"/>
    </row>
    <row r="115" spans="1:19" x14ac:dyDescent="0.45">
      <c r="A115" s="307"/>
      <c r="B115" s="340" t="s">
        <v>235</v>
      </c>
      <c r="C115" s="341"/>
      <c r="D115" s="103">
        <f>$F$108-$F$103</f>
        <v>189000</v>
      </c>
      <c r="E115" s="82">
        <f>D115/($F$60+$F$84+$F$98+$F$108)</f>
        <v>2.5341744826060431E-2</v>
      </c>
      <c r="F115" s="312">
        <v>1.2500000000000001E-2</v>
      </c>
      <c r="G115" s="307"/>
      <c r="H115" s="307"/>
      <c r="I115" s="307"/>
      <c r="J115" s="307"/>
      <c r="K115" s="307"/>
      <c r="L115" s="307"/>
      <c r="M115" s="307"/>
      <c r="N115" s="307"/>
      <c r="O115" s="307"/>
      <c r="P115" s="307"/>
      <c r="Q115" s="307"/>
      <c r="R115" s="307"/>
      <c r="S115" s="307"/>
    </row>
    <row r="116" spans="1:19" x14ac:dyDescent="0.45">
      <c r="A116" s="307"/>
      <c r="B116" s="378" t="s">
        <v>236</v>
      </c>
      <c r="C116" s="412"/>
      <c r="D116" s="313">
        <f>F107+F97+F83+F59</f>
        <v>917050</v>
      </c>
      <c r="E116" s="83">
        <f>D116/($F$60+$F$84+$F$98+$F$108)</f>
        <v>0.12296109572877628</v>
      </c>
      <c r="F116" s="314" t="s">
        <v>237</v>
      </c>
      <c r="G116" s="307"/>
      <c r="H116" s="307"/>
      <c r="I116" s="307"/>
      <c r="J116" s="307"/>
      <c r="K116" s="307"/>
      <c r="L116" s="307"/>
      <c r="M116" s="307"/>
      <c r="N116" s="307"/>
      <c r="O116" s="307"/>
      <c r="P116" s="307"/>
      <c r="Q116" s="307"/>
      <c r="R116" s="307"/>
      <c r="S116" s="307"/>
    </row>
    <row r="117" spans="1:19" s="307" customFormat="1" x14ac:dyDescent="0.45"/>
    <row r="118" spans="1:19" s="307" customFormat="1" x14ac:dyDescent="0.45"/>
    <row r="119" spans="1:19" s="307" customFormat="1" x14ac:dyDescent="0.45"/>
    <row r="120" spans="1:19" s="307" customFormat="1" x14ac:dyDescent="0.45"/>
    <row r="121" spans="1:19" s="307" customFormat="1" x14ac:dyDescent="0.45"/>
    <row r="122" spans="1:19" s="307" customFormat="1" x14ac:dyDescent="0.45"/>
    <row r="123" spans="1:19" s="307" customFormat="1" x14ac:dyDescent="0.45"/>
    <row r="124" spans="1:19" s="307" customFormat="1" x14ac:dyDescent="0.45"/>
    <row r="125" spans="1:19" s="307" customFormat="1" x14ac:dyDescent="0.45"/>
    <row r="126" spans="1:19" s="307" customFormat="1" x14ac:dyDescent="0.45"/>
    <row r="127" spans="1:19" s="307" customFormat="1" x14ac:dyDescent="0.45"/>
    <row r="128" spans="1:19" s="307" customFormat="1" x14ac:dyDescent="0.45"/>
    <row r="129" s="307" customFormat="1" x14ac:dyDescent="0.45"/>
    <row r="130" s="307" customFormat="1" x14ac:dyDescent="0.45"/>
    <row r="131" s="307" customFormat="1" x14ac:dyDescent="0.45"/>
    <row r="132" s="307" customFormat="1" x14ac:dyDescent="0.45"/>
    <row r="133" s="307" customFormat="1" x14ac:dyDescent="0.45"/>
    <row r="134" s="307" customFormat="1" x14ac:dyDescent="0.45"/>
    <row r="135" s="307" customFormat="1" x14ac:dyDescent="0.45"/>
    <row r="136" s="307" customFormat="1" x14ac:dyDescent="0.45"/>
    <row r="137" s="307" customFormat="1" x14ac:dyDescent="0.45"/>
    <row r="138" s="307" customFormat="1" x14ac:dyDescent="0.45"/>
    <row r="139" s="307" customFormat="1" x14ac:dyDescent="0.45"/>
    <row r="140" s="307" customFormat="1" x14ac:dyDescent="0.45"/>
    <row r="141" s="307" customFormat="1" x14ac:dyDescent="0.45"/>
    <row r="142" s="307" customFormat="1" x14ac:dyDescent="0.45"/>
    <row r="143" s="307" customFormat="1" x14ac:dyDescent="0.45"/>
    <row r="144" s="307" customFormat="1" x14ac:dyDescent="0.45"/>
    <row r="145" s="307" customFormat="1" x14ac:dyDescent="0.45"/>
    <row r="146" s="307" customFormat="1" x14ac:dyDescent="0.45"/>
    <row r="147" s="307" customFormat="1" x14ac:dyDescent="0.45"/>
    <row r="148" s="307" customFormat="1" x14ac:dyDescent="0.45"/>
    <row r="149" s="307" customFormat="1" x14ac:dyDescent="0.45"/>
    <row r="150" s="307" customFormat="1" x14ac:dyDescent="0.45"/>
    <row r="151" s="307" customFormat="1" x14ac:dyDescent="0.45"/>
    <row r="152" s="307" customFormat="1" x14ac:dyDescent="0.45"/>
    <row r="153" s="307" customFormat="1" x14ac:dyDescent="0.45"/>
    <row r="154" s="307" customFormat="1" x14ac:dyDescent="0.45"/>
    <row r="155" s="307" customFormat="1" x14ac:dyDescent="0.45"/>
    <row r="156" s="307" customFormat="1" x14ac:dyDescent="0.45"/>
    <row r="157" s="307" customFormat="1" x14ac:dyDescent="0.45"/>
    <row r="158" s="307" customFormat="1" x14ac:dyDescent="0.45"/>
    <row r="159" s="307" customFormat="1" x14ac:dyDescent="0.45"/>
    <row r="160" s="307" customFormat="1" x14ac:dyDescent="0.45"/>
    <row r="161" s="307" customFormat="1" x14ac:dyDescent="0.45"/>
    <row r="162" s="307" customFormat="1" x14ac:dyDescent="0.45"/>
    <row r="163" s="307" customFormat="1" x14ac:dyDescent="0.45"/>
    <row r="164" s="307" customFormat="1" x14ac:dyDescent="0.45"/>
    <row r="165" s="307" customFormat="1" x14ac:dyDescent="0.45"/>
    <row r="166" s="307" customFormat="1" x14ac:dyDescent="0.45"/>
    <row r="167" s="307" customFormat="1" x14ac:dyDescent="0.45"/>
    <row r="168" s="307" customFormat="1" x14ac:dyDescent="0.45"/>
    <row r="169" s="307" customFormat="1" x14ac:dyDescent="0.45"/>
    <row r="170" s="307" customFormat="1" x14ac:dyDescent="0.45"/>
    <row r="171" s="307" customFormat="1" x14ac:dyDescent="0.45"/>
    <row r="172" s="307" customFormat="1" x14ac:dyDescent="0.45"/>
    <row r="173" s="307" customFormat="1" x14ac:dyDescent="0.45"/>
    <row r="174" s="307" customFormat="1" x14ac:dyDescent="0.45"/>
    <row r="175" s="307" customFormat="1" x14ac:dyDescent="0.45"/>
    <row r="176" s="307" customFormat="1" x14ac:dyDescent="0.45"/>
    <row r="177" s="307" customFormat="1" x14ac:dyDescent="0.45"/>
    <row r="178" s="307" customFormat="1" x14ac:dyDescent="0.45"/>
    <row r="179" s="307" customFormat="1" x14ac:dyDescent="0.45"/>
    <row r="180" s="307" customFormat="1" x14ac:dyDescent="0.45"/>
    <row r="181" s="307" customFormat="1" x14ac:dyDescent="0.45"/>
    <row r="182" s="307" customFormat="1" x14ac:dyDescent="0.45"/>
    <row r="183" s="307" customFormat="1" x14ac:dyDescent="0.45"/>
    <row r="184" s="307" customFormat="1" x14ac:dyDescent="0.45"/>
    <row r="185" s="307" customFormat="1" x14ac:dyDescent="0.45"/>
    <row r="186" s="307" customFormat="1" x14ac:dyDescent="0.45"/>
    <row r="187" s="307" customFormat="1" x14ac:dyDescent="0.45"/>
    <row r="188" s="307" customFormat="1" x14ac:dyDescent="0.45"/>
    <row r="189" s="307" customFormat="1" x14ac:dyDescent="0.45"/>
    <row r="190" s="307" customFormat="1" x14ac:dyDescent="0.45"/>
    <row r="191" s="307" customFormat="1" x14ac:dyDescent="0.45"/>
    <row r="192" s="307" customFormat="1" x14ac:dyDescent="0.45"/>
    <row r="193" s="307" customFormat="1" x14ac:dyDescent="0.45"/>
    <row r="194" s="307" customFormat="1" x14ac:dyDescent="0.45"/>
    <row r="195" s="307" customFormat="1" x14ac:dyDescent="0.45"/>
    <row r="196" s="307" customFormat="1" x14ac:dyDescent="0.45"/>
    <row r="197" s="307" customFormat="1" x14ac:dyDescent="0.45"/>
    <row r="198" s="307" customFormat="1" x14ac:dyDescent="0.45"/>
    <row r="199" s="307" customFormat="1" x14ac:dyDescent="0.45"/>
    <row r="200" s="307" customFormat="1" x14ac:dyDescent="0.45"/>
    <row r="201" s="307" customFormat="1" x14ac:dyDescent="0.45"/>
    <row r="202" s="307" customFormat="1" x14ac:dyDescent="0.45"/>
    <row r="203" s="307" customFormat="1" x14ac:dyDescent="0.45"/>
    <row r="204" s="307" customFormat="1" x14ac:dyDescent="0.45"/>
    <row r="205" s="307" customFormat="1" x14ac:dyDescent="0.45"/>
    <row r="206" s="307" customFormat="1" x14ac:dyDescent="0.45"/>
    <row r="207" s="307" customFormat="1" x14ac:dyDescent="0.45"/>
    <row r="208" s="307" customFormat="1" x14ac:dyDescent="0.45"/>
    <row r="209" s="307" customFormat="1" x14ac:dyDescent="0.45"/>
    <row r="210" s="307" customFormat="1" x14ac:dyDescent="0.45"/>
    <row r="211" s="307" customFormat="1" x14ac:dyDescent="0.45"/>
    <row r="212" s="307" customFormat="1" x14ac:dyDescent="0.45"/>
    <row r="213" s="307" customFormat="1" x14ac:dyDescent="0.45"/>
    <row r="214" s="307" customFormat="1" x14ac:dyDescent="0.45"/>
    <row r="215" s="307" customFormat="1" x14ac:dyDescent="0.45"/>
    <row r="216" s="307" customFormat="1" x14ac:dyDescent="0.45"/>
    <row r="217" s="307" customFormat="1" x14ac:dyDescent="0.45"/>
    <row r="218" s="307" customFormat="1" x14ac:dyDescent="0.45"/>
    <row r="219" s="307" customFormat="1" x14ac:dyDescent="0.45"/>
    <row r="220" s="307" customFormat="1" x14ac:dyDescent="0.45"/>
    <row r="221" s="307" customFormat="1" x14ac:dyDescent="0.45"/>
    <row r="222" s="307" customFormat="1" x14ac:dyDescent="0.45"/>
    <row r="223" s="307" customFormat="1" x14ac:dyDescent="0.45"/>
    <row r="224" s="307" customFormat="1" x14ac:dyDescent="0.45"/>
    <row r="225" s="307" customFormat="1" x14ac:dyDescent="0.45"/>
    <row r="226" s="307" customFormat="1" x14ac:dyDescent="0.45"/>
    <row r="227" s="307" customFormat="1" x14ac:dyDescent="0.45"/>
    <row r="228" s="307" customFormat="1" x14ac:dyDescent="0.45"/>
    <row r="229" s="307" customFormat="1" x14ac:dyDescent="0.45"/>
    <row r="230" s="307" customFormat="1" x14ac:dyDescent="0.45"/>
    <row r="231" s="307" customFormat="1" x14ac:dyDescent="0.45"/>
    <row r="232" s="307" customFormat="1" x14ac:dyDescent="0.45"/>
    <row r="233" s="307" customFormat="1" x14ac:dyDescent="0.45"/>
    <row r="234" s="307" customFormat="1" x14ac:dyDescent="0.45"/>
    <row r="235" s="307" customFormat="1" x14ac:dyDescent="0.45"/>
    <row r="236" s="307" customFormat="1" x14ac:dyDescent="0.45"/>
    <row r="237" s="307" customFormat="1" x14ac:dyDescent="0.45"/>
    <row r="238" s="307" customFormat="1" x14ac:dyDescent="0.45"/>
    <row r="239" s="307" customFormat="1" x14ac:dyDescent="0.45"/>
    <row r="240" s="307" customFormat="1" x14ac:dyDescent="0.45"/>
    <row r="241" s="307" customFormat="1" x14ac:dyDescent="0.45"/>
    <row r="242" s="307" customFormat="1" x14ac:dyDescent="0.45"/>
    <row r="243" s="307" customFormat="1" x14ac:dyDescent="0.45"/>
    <row r="244" s="307" customFormat="1" x14ac:dyDescent="0.45"/>
    <row r="245" s="307" customFormat="1" x14ac:dyDescent="0.45"/>
    <row r="246" s="307" customFormat="1" x14ac:dyDescent="0.45"/>
    <row r="247" s="307" customFormat="1" x14ac:dyDescent="0.45"/>
    <row r="248" s="307" customFormat="1" x14ac:dyDescent="0.45"/>
    <row r="249" s="307" customFormat="1" x14ac:dyDescent="0.45"/>
    <row r="250" s="307" customFormat="1" x14ac:dyDescent="0.45"/>
    <row r="251" s="307" customFormat="1" x14ac:dyDescent="0.45"/>
    <row r="252" s="307" customFormat="1" x14ac:dyDescent="0.45"/>
    <row r="253" s="307" customFormat="1" x14ac:dyDescent="0.45"/>
    <row r="254" s="307" customFormat="1" x14ac:dyDescent="0.45"/>
    <row r="255" s="307" customFormat="1" x14ac:dyDescent="0.45"/>
    <row r="256" s="307" customFormat="1" x14ac:dyDescent="0.45"/>
    <row r="257" s="307" customFormat="1" x14ac:dyDescent="0.45"/>
    <row r="258" s="307" customFormat="1" x14ac:dyDescent="0.45"/>
    <row r="259" s="307" customFormat="1" x14ac:dyDescent="0.45"/>
    <row r="260" s="307" customFormat="1" x14ac:dyDescent="0.45"/>
    <row r="261" s="307" customFormat="1" x14ac:dyDescent="0.45"/>
    <row r="262" s="307" customFormat="1" x14ac:dyDescent="0.45"/>
    <row r="263" s="307" customFormat="1" x14ac:dyDescent="0.45"/>
    <row r="264" s="307" customFormat="1" x14ac:dyDescent="0.45"/>
    <row r="265" s="307" customFormat="1" x14ac:dyDescent="0.45"/>
    <row r="266" s="307" customFormat="1" x14ac:dyDescent="0.45"/>
    <row r="267" s="307" customFormat="1" x14ac:dyDescent="0.45"/>
    <row r="268" s="307" customFormat="1" x14ac:dyDescent="0.45"/>
    <row r="269" s="307" customFormat="1" x14ac:dyDescent="0.45"/>
    <row r="270" s="307" customFormat="1" x14ac:dyDescent="0.45"/>
    <row r="271" s="307" customFormat="1" x14ac:dyDescent="0.45"/>
    <row r="272" s="307" customFormat="1" x14ac:dyDescent="0.45"/>
    <row r="273" s="307" customFormat="1" x14ac:dyDescent="0.45"/>
    <row r="274" s="307" customFormat="1" x14ac:dyDescent="0.45"/>
    <row r="275" s="307" customFormat="1" x14ac:dyDescent="0.45"/>
    <row r="276" s="307" customFormat="1" x14ac:dyDescent="0.45"/>
    <row r="277" s="307" customFormat="1" x14ac:dyDescent="0.45"/>
    <row r="278" s="307" customFormat="1" x14ac:dyDescent="0.45"/>
    <row r="279" s="307" customFormat="1" x14ac:dyDescent="0.45"/>
    <row r="280" s="307" customFormat="1" x14ac:dyDescent="0.45"/>
    <row r="281" s="307" customFormat="1" x14ac:dyDescent="0.45"/>
    <row r="282" s="307" customFormat="1" x14ac:dyDescent="0.45"/>
    <row r="283" s="307" customFormat="1" x14ac:dyDescent="0.45"/>
    <row r="284" s="307" customFormat="1" x14ac:dyDescent="0.45"/>
    <row r="285" s="307" customFormat="1" x14ac:dyDescent="0.45"/>
    <row r="286" s="307" customFormat="1" x14ac:dyDescent="0.45"/>
    <row r="287" s="307" customFormat="1" x14ac:dyDescent="0.45"/>
    <row r="288" s="307" customFormat="1" x14ac:dyDescent="0.45"/>
    <row r="289" s="307" customFormat="1" x14ac:dyDescent="0.45"/>
    <row r="290" s="307" customFormat="1" x14ac:dyDescent="0.45"/>
    <row r="291" s="307" customFormat="1" x14ac:dyDescent="0.45"/>
    <row r="292" s="307" customFormat="1" x14ac:dyDescent="0.45"/>
    <row r="293" s="307" customFormat="1" x14ac:dyDescent="0.45"/>
    <row r="294" s="307" customFormat="1" x14ac:dyDescent="0.45"/>
    <row r="295" s="307" customFormat="1" x14ac:dyDescent="0.45"/>
    <row r="296" s="307" customFormat="1" x14ac:dyDescent="0.45"/>
    <row r="297" s="307" customFormat="1" x14ac:dyDescent="0.45"/>
    <row r="298" s="307" customFormat="1" x14ac:dyDescent="0.45"/>
    <row r="299" s="307" customFormat="1" x14ac:dyDescent="0.45"/>
    <row r="300" s="307" customFormat="1" x14ac:dyDescent="0.45"/>
    <row r="301" s="307" customFormat="1" x14ac:dyDescent="0.45"/>
    <row r="302" s="307" customFormat="1" x14ac:dyDescent="0.45"/>
    <row r="303" s="307" customFormat="1" x14ac:dyDescent="0.45"/>
    <row r="304" s="307" customFormat="1" x14ac:dyDescent="0.45"/>
    <row r="305" s="307" customFormat="1" x14ac:dyDescent="0.45"/>
    <row r="306" s="307" customFormat="1" x14ac:dyDescent="0.45"/>
    <row r="307" s="307" customFormat="1" x14ac:dyDescent="0.45"/>
    <row r="308" s="307" customFormat="1" x14ac:dyDescent="0.45"/>
    <row r="309" s="307" customFormat="1" x14ac:dyDescent="0.45"/>
    <row r="310" s="307" customFormat="1" x14ac:dyDescent="0.45"/>
    <row r="311" s="307" customFormat="1" x14ac:dyDescent="0.45"/>
    <row r="312" s="307" customFormat="1" x14ac:dyDescent="0.45"/>
    <row r="313" s="307" customFormat="1" x14ac:dyDescent="0.45"/>
    <row r="314" s="307" customFormat="1" x14ac:dyDescent="0.45"/>
    <row r="315" s="307" customFormat="1" x14ac:dyDescent="0.45"/>
    <row r="316" s="307" customFormat="1" x14ac:dyDescent="0.45"/>
    <row r="317" s="307" customFormat="1" x14ac:dyDescent="0.45"/>
    <row r="318" s="307" customFormat="1" x14ac:dyDescent="0.45"/>
    <row r="319" s="307" customFormat="1" x14ac:dyDescent="0.45"/>
    <row r="320" s="307" customFormat="1" x14ac:dyDescent="0.45"/>
    <row r="321" s="307" customFormat="1" x14ac:dyDescent="0.45"/>
    <row r="322" s="307" customFormat="1" x14ac:dyDescent="0.45"/>
    <row r="323" s="307" customFormat="1" x14ac:dyDescent="0.45"/>
    <row r="324" s="307" customFormat="1" x14ac:dyDescent="0.45"/>
    <row r="325" s="307" customFormat="1" x14ac:dyDescent="0.45"/>
    <row r="326" s="307" customFormat="1" x14ac:dyDescent="0.45"/>
    <row r="327" s="307" customFormat="1" x14ac:dyDescent="0.45"/>
    <row r="328" s="307" customFormat="1" x14ac:dyDescent="0.45"/>
    <row r="329" s="307" customFormat="1" x14ac:dyDescent="0.45"/>
    <row r="330" s="307" customFormat="1" x14ac:dyDescent="0.45"/>
    <row r="331" s="307" customFormat="1" x14ac:dyDescent="0.45"/>
    <row r="332" s="307" customFormat="1" x14ac:dyDescent="0.45"/>
    <row r="333" s="307" customFormat="1" x14ac:dyDescent="0.45"/>
    <row r="334" s="307" customFormat="1" x14ac:dyDescent="0.45"/>
    <row r="335" s="307" customFormat="1" x14ac:dyDescent="0.45"/>
    <row r="336" s="307" customFormat="1" x14ac:dyDescent="0.45"/>
    <row r="337" s="307" customFormat="1" x14ac:dyDescent="0.45"/>
    <row r="338" s="307" customFormat="1" x14ac:dyDescent="0.45"/>
    <row r="339" s="307" customFormat="1" x14ac:dyDescent="0.45"/>
    <row r="340" s="307" customFormat="1" x14ac:dyDescent="0.45"/>
    <row r="341" s="307" customFormat="1" x14ac:dyDescent="0.45"/>
    <row r="342" s="307" customFormat="1" x14ac:dyDescent="0.45"/>
    <row r="343" s="307" customFormat="1" x14ac:dyDescent="0.45"/>
    <row r="344" s="307" customFormat="1" x14ac:dyDescent="0.45"/>
    <row r="345" s="307" customFormat="1" x14ac:dyDescent="0.45"/>
    <row r="346" s="307" customFormat="1" x14ac:dyDescent="0.45"/>
    <row r="347" s="307" customFormat="1" x14ac:dyDescent="0.45"/>
    <row r="348" s="307" customFormat="1" x14ac:dyDescent="0.45"/>
    <row r="349" s="307" customFormat="1" x14ac:dyDescent="0.45"/>
    <row r="350" s="307" customFormat="1" x14ac:dyDescent="0.45"/>
    <row r="351" s="307" customFormat="1" x14ac:dyDescent="0.45"/>
    <row r="352" s="307" customFormat="1" x14ac:dyDescent="0.45"/>
    <row r="353" s="307" customFormat="1" x14ac:dyDescent="0.45"/>
    <row r="354" s="307" customFormat="1" x14ac:dyDescent="0.45"/>
    <row r="355" s="307" customFormat="1" x14ac:dyDescent="0.45"/>
    <row r="356" s="307" customFormat="1" x14ac:dyDescent="0.45"/>
    <row r="357" s="307" customFormat="1" x14ac:dyDescent="0.45"/>
    <row r="358" s="307" customFormat="1" x14ac:dyDescent="0.45"/>
    <row r="359" s="307" customFormat="1" x14ac:dyDescent="0.45"/>
    <row r="360" s="307" customFormat="1" x14ac:dyDescent="0.45"/>
    <row r="361" s="307" customFormat="1" x14ac:dyDescent="0.45"/>
    <row r="362" s="307" customFormat="1" x14ac:dyDescent="0.45"/>
    <row r="363" s="307" customFormat="1" x14ac:dyDescent="0.45"/>
    <row r="364" s="307" customFormat="1" x14ac:dyDescent="0.45"/>
    <row r="365" s="307" customFormat="1" x14ac:dyDescent="0.45"/>
    <row r="366" s="307" customFormat="1" x14ac:dyDescent="0.45"/>
    <row r="367" s="307" customFormat="1" x14ac:dyDescent="0.45"/>
    <row r="368" s="307" customFormat="1" x14ac:dyDescent="0.45"/>
    <row r="369" s="307" customFormat="1" x14ac:dyDescent="0.45"/>
    <row r="370" s="307" customFormat="1" x14ac:dyDescent="0.45"/>
    <row r="371" s="307" customFormat="1" x14ac:dyDescent="0.45"/>
    <row r="372" s="307" customFormat="1" x14ac:dyDescent="0.45"/>
    <row r="373" s="307" customFormat="1" x14ac:dyDescent="0.45"/>
    <row r="374" s="307" customFormat="1" x14ac:dyDescent="0.45"/>
    <row r="375" s="307" customFormat="1" x14ac:dyDescent="0.45"/>
    <row r="376" s="307" customFormat="1" x14ac:dyDescent="0.45"/>
    <row r="377" s="307" customFormat="1" x14ac:dyDescent="0.45"/>
    <row r="378" s="307" customFormat="1" x14ac:dyDescent="0.45"/>
    <row r="379" s="307" customFormat="1" x14ac:dyDescent="0.45"/>
    <row r="380" s="307" customFormat="1" x14ac:dyDescent="0.45"/>
    <row r="381" s="307" customFormat="1" x14ac:dyDescent="0.45"/>
    <row r="382" s="307" customFormat="1" x14ac:dyDescent="0.45"/>
    <row r="383" s="307" customFormat="1" x14ac:dyDescent="0.45"/>
    <row r="384" s="307" customFormat="1" x14ac:dyDescent="0.45"/>
    <row r="385" s="307" customFormat="1" x14ac:dyDescent="0.45"/>
    <row r="386" s="307" customFormat="1" x14ac:dyDescent="0.45"/>
    <row r="387" s="307" customFormat="1" x14ac:dyDescent="0.45"/>
    <row r="388" s="307" customFormat="1" x14ac:dyDescent="0.45"/>
    <row r="389" s="307" customFormat="1" x14ac:dyDescent="0.45"/>
    <row r="390" s="307" customFormat="1" x14ac:dyDescent="0.45"/>
    <row r="391" s="307" customFormat="1" x14ac:dyDescent="0.45"/>
    <row r="392" s="307" customFormat="1" x14ac:dyDescent="0.45"/>
    <row r="393" s="307" customFormat="1" x14ac:dyDescent="0.45"/>
    <row r="394" s="307" customFormat="1" x14ac:dyDescent="0.45"/>
    <row r="395" s="307" customFormat="1" x14ac:dyDescent="0.45"/>
    <row r="396" s="307" customFormat="1" x14ac:dyDescent="0.45"/>
    <row r="397" s="307" customFormat="1" x14ac:dyDescent="0.45"/>
    <row r="398" s="307" customFormat="1" x14ac:dyDescent="0.45"/>
    <row r="399" s="307" customFormat="1" x14ac:dyDescent="0.45"/>
    <row r="400" s="307" customFormat="1" x14ac:dyDescent="0.45"/>
    <row r="401" s="307" customFormat="1" x14ac:dyDescent="0.45"/>
    <row r="402" s="307" customFormat="1" x14ac:dyDescent="0.45"/>
    <row r="403" s="307" customFormat="1" x14ac:dyDescent="0.45"/>
    <row r="404" s="307" customFormat="1" x14ac:dyDescent="0.45"/>
    <row r="405" s="307" customFormat="1" x14ac:dyDescent="0.45"/>
    <row r="406" s="307" customFormat="1" x14ac:dyDescent="0.45"/>
    <row r="407" s="307" customFormat="1" x14ac:dyDescent="0.45"/>
    <row r="408" s="307" customFormat="1" x14ac:dyDescent="0.45"/>
    <row r="409" s="307" customFormat="1" x14ac:dyDescent="0.45"/>
    <row r="410" s="307" customFormat="1" x14ac:dyDescent="0.45"/>
    <row r="411" s="307" customFormat="1" x14ac:dyDescent="0.45"/>
    <row r="412" s="307" customFormat="1" x14ac:dyDescent="0.45"/>
    <row r="413" s="307" customFormat="1" x14ac:dyDescent="0.45"/>
    <row r="414" s="307" customFormat="1" x14ac:dyDescent="0.45"/>
    <row r="415" s="307" customFormat="1" x14ac:dyDescent="0.45"/>
    <row r="416" s="307" customFormat="1" x14ac:dyDescent="0.45"/>
    <row r="417" s="307" customFormat="1" x14ac:dyDescent="0.45"/>
    <row r="418" s="307" customFormat="1" x14ac:dyDescent="0.45"/>
    <row r="419" s="307" customFormat="1" x14ac:dyDescent="0.45"/>
    <row r="420" s="307" customFormat="1" x14ac:dyDescent="0.45"/>
    <row r="421" s="307" customFormat="1" x14ac:dyDescent="0.45"/>
    <row r="422" s="307" customFormat="1" x14ac:dyDescent="0.45"/>
    <row r="423" s="307" customFormat="1" x14ac:dyDescent="0.45"/>
    <row r="424" s="307" customFormat="1" x14ac:dyDescent="0.45"/>
    <row r="425" s="307" customFormat="1" x14ac:dyDescent="0.45"/>
    <row r="426" s="307" customFormat="1" x14ac:dyDescent="0.45"/>
  </sheetData>
  <sheetProtection algorithmName="SHA-512" hashValue="njYhcNHcswtEEaDutlMAKuZCuXJ3xAWYVkZjaqFhVFUOlIJ/GkLQbnrWS8hwjezLGl5+YNzDF2OhgM12iuNMoQ==" saltValue="dW8oQ6mje/GnT6M02uGccg==" spinCount="100000" sheet="1" objects="1" scenarios="1"/>
  <mergeCells count="9">
    <mergeCell ref="B2:L4"/>
    <mergeCell ref="B111:F111"/>
    <mergeCell ref="G14:H14"/>
    <mergeCell ref="D39:F39"/>
    <mergeCell ref="G39:I39"/>
    <mergeCell ref="J39:L39"/>
    <mergeCell ref="E14:F14"/>
    <mergeCell ref="B39:C39"/>
    <mergeCell ref="B51:F51"/>
  </mergeCells>
  <conditionalFormatting sqref="I72:I109">
    <cfRule type="dataBar" priority="25">
      <dataBar showValue="0">
        <cfvo type="min"/>
        <cfvo type="max"/>
        <color rgb="FFFFC000"/>
      </dataBar>
      <extLst>
        <ext xmlns:x14="http://schemas.microsoft.com/office/spreadsheetml/2009/9/main" uri="{B025F937-C7B1-47D3-B67F-A62EFF666E3E}">
          <x14:id>{461AAC94-5BDD-4BD4-9C55-345B8394B2A5}</x14:id>
        </ext>
      </extLst>
    </cfRule>
    <cfRule type="dataBar" priority="26">
      <dataBar>
        <cfvo type="min"/>
        <cfvo type="max"/>
        <color rgb="FF638EC6"/>
      </dataBar>
      <extLst>
        <ext xmlns:x14="http://schemas.microsoft.com/office/spreadsheetml/2009/9/main" uri="{B025F937-C7B1-47D3-B67F-A62EFF666E3E}">
          <x14:id>{0A3BE398-6A58-4E5D-9386-63E0FB6673FF}</x14:id>
        </ext>
      </extLst>
    </cfRule>
  </conditionalFormatting>
  <pageMargins left="0.7" right="0.7" top="0.75" bottom="0.75" header="0.3" footer="0.3"/>
  <pageSetup paperSize="9" orientation="portrait" r:id="rId1"/>
  <headerFooter>
    <oddFooter>&amp;C_x000D_&amp;1#&amp;"Calibri"&amp;10&amp;K000000 [UNCLASSIFIED]</oddFooter>
  </headerFooter>
  <drawing r:id="rId2"/>
  <extLst>
    <ext xmlns:x14="http://schemas.microsoft.com/office/spreadsheetml/2009/9/main" uri="{78C0D931-6437-407d-A8EE-F0AAD7539E65}">
      <x14:conditionalFormattings>
        <x14:conditionalFormatting xmlns:xm="http://schemas.microsoft.com/office/excel/2006/main">
          <x14:cfRule type="dataBar" id="{461AAC94-5BDD-4BD4-9C55-345B8394B2A5}">
            <x14:dataBar minLength="0" maxLength="100" gradient="0">
              <x14:cfvo type="autoMin"/>
              <x14:cfvo type="autoMax"/>
              <x14:negativeFillColor rgb="FFFF0000"/>
              <x14:axisColor rgb="FF000000"/>
            </x14:dataBar>
          </x14:cfRule>
          <x14:cfRule type="dataBar" id="{0A3BE398-6A58-4E5D-9386-63E0FB6673FF}">
            <x14:dataBar minLength="0" maxLength="100" gradient="0">
              <x14:cfvo type="autoMin"/>
              <x14:cfvo type="autoMax"/>
              <x14:negativeFillColor rgb="FFFF0000"/>
              <x14:axisColor rgb="FF000000"/>
            </x14:dataBar>
          </x14:cfRule>
          <xm:sqref>I72:I109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6AE7DFD-331C-4F92-A8BC-4240B272DBDE}">
          <x14:formula1>
            <xm:f>Codes!$M$1:$M$6</xm:f>
          </x14:formula1>
          <xm:sqref>C15:C34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DAA11-E8B7-4C41-873F-9C729B25B1D9}">
  <sheetPr>
    <tabColor theme="8"/>
  </sheetPr>
  <dimension ref="A1:EM379"/>
  <sheetViews>
    <sheetView zoomScale="60" zoomScaleNormal="60" workbookViewId="0"/>
  </sheetViews>
  <sheetFormatPr defaultColWidth="9" defaultRowHeight="14.25" x14ac:dyDescent="0.45"/>
  <cols>
    <col min="1" max="1" width="9.1328125" style="307" customWidth="1"/>
    <col min="2" max="2" width="43.265625" style="310" customWidth="1"/>
    <col min="3" max="3" width="26.1328125" style="310" customWidth="1"/>
    <col min="4" max="4" width="27.3984375" style="310" customWidth="1"/>
    <col min="5" max="5" width="19.3984375" style="310" customWidth="1"/>
    <col min="6" max="6" width="23.265625" style="310" customWidth="1"/>
    <col min="7" max="7" width="22.73046875" style="310" customWidth="1"/>
    <col min="8" max="8" width="19.1328125" style="310" customWidth="1"/>
    <col min="9" max="9" width="14.3984375" style="310" bestFit="1" customWidth="1"/>
    <col min="10" max="10" width="29.86328125" style="310" customWidth="1"/>
    <col min="11" max="11" width="16.1328125" style="307" customWidth="1"/>
    <col min="12" max="12" width="18.59765625" style="307" customWidth="1"/>
    <col min="13" max="13" width="18.73046875" style="307" customWidth="1"/>
    <col min="14" max="14" width="19.3984375" style="307" customWidth="1"/>
    <col min="15" max="15" width="20.73046875" style="307" customWidth="1"/>
    <col min="16" max="16" width="19.3984375" style="307" customWidth="1"/>
    <col min="17" max="17" width="17.59765625" style="307" customWidth="1"/>
    <col min="18" max="18" width="17.86328125" style="307" customWidth="1"/>
    <col min="19" max="19" width="17.265625" style="307" customWidth="1"/>
    <col min="20" max="20" width="17.1328125" style="307" customWidth="1"/>
    <col min="21" max="21" width="16.59765625" style="307" customWidth="1"/>
    <col min="22" max="22" width="18" style="307" customWidth="1"/>
    <col min="23" max="23" width="16.86328125" style="307" customWidth="1"/>
    <col min="24" max="24" width="16.1328125" style="307" customWidth="1"/>
    <col min="25" max="25" width="18.1328125" style="307" customWidth="1"/>
    <col min="26" max="26" width="18" style="307" customWidth="1"/>
    <col min="27" max="27" width="17.1328125" style="307" customWidth="1"/>
    <col min="28" max="28" width="18" style="307" customWidth="1"/>
    <col min="29" max="29" width="16.86328125" style="307" customWidth="1"/>
    <col min="30" max="30" width="17" style="307" customWidth="1"/>
    <col min="31" max="31" width="18.3984375" style="307" customWidth="1"/>
    <col min="32" max="32" width="17.265625" style="307" customWidth="1"/>
    <col min="33" max="33" width="17.59765625" style="307" customWidth="1"/>
    <col min="34" max="34" width="17.265625" style="307" customWidth="1"/>
    <col min="35" max="35" width="16.59765625" style="307" customWidth="1"/>
    <col min="36" max="36" width="17" style="307" customWidth="1"/>
    <col min="37" max="37" width="19.3984375" style="307" customWidth="1"/>
    <col min="38" max="38" width="15.86328125" style="307" customWidth="1"/>
    <col min="39" max="39" width="16.265625" style="307" customWidth="1"/>
    <col min="40" max="40" width="16" style="307" customWidth="1"/>
    <col min="41" max="41" width="17.3984375" style="307" customWidth="1"/>
    <col min="42" max="42" width="18.86328125" style="307" customWidth="1"/>
    <col min="43" max="43" width="17.3984375" style="307" customWidth="1"/>
    <col min="44" max="44" width="17.86328125" style="307" customWidth="1"/>
    <col min="45" max="45" width="18.59765625" style="307" customWidth="1"/>
    <col min="46" max="46" width="20.59765625" style="307" customWidth="1"/>
    <col min="47" max="47" width="17.73046875" style="307" customWidth="1"/>
    <col min="48" max="48" width="18.3984375" style="307" customWidth="1"/>
    <col min="49" max="49" width="18.86328125" style="307" customWidth="1"/>
    <col min="50" max="51" width="18.1328125" style="307" customWidth="1"/>
    <col min="52" max="52" width="19.86328125" style="307" customWidth="1"/>
    <col min="53" max="53" width="21.1328125" style="307" customWidth="1"/>
    <col min="54" max="54" width="20.3984375" style="307" customWidth="1"/>
    <col min="55" max="55" width="18.1328125" style="307" customWidth="1"/>
    <col min="56" max="56" width="17.86328125" style="307" customWidth="1"/>
    <col min="57" max="57" width="19" style="307" customWidth="1"/>
    <col min="58" max="59" width="18.1328125" style="307" customWidth="1"/>
    <col min="60" max="60" width="19" style="307" customWidth="1"/>
    <col min="61" max="62" width="18.86328125" style="307" customWidth="1"/>
    <col min="63" max="63" width="16.73046875" style="307" customWidth="1"/>
    <col min="64" max="64" width="18.1328125" style="307" customWidth="1"/>
    <col min="65" max="65" width="19.1328125" style="310" customWidth="1"/>
    <col min="66" max="66" width="9" style="310"/>
    <col min="67" max="143" width="9.1328125" style="307" customWidth="1"/>
    <col min="144" max="16384" width="9" style="310"/>
  </cols>
  <sheetData>
    <row r="1" spans="2:66" x14ac:dyDescent="0.45">
      <c r="B1" s="91"/>
      <c r="C1" s="91"/>
      <c r="D1" s="91"/>
      <c r="E1" s="91"/>
      <c r="F1" s="91"/>
      <c r="G1" s="91"/>
      <c r="H1" s="91"/>
      <c r="I1" s="91"/>
      <c r="J1" s="91"/>
      <c r="K1" s="91"/>
      <c r="L1" s="91"/>
      <c r="M1" s="91"/>
      <c r="N1" s="91"/>
      <c r="O1" s="91"/>
      <c r="P1" s="91"/>
      <c r="Q1" s="91"/>
      <c r="R1" s="91"/>
      <c r="S1" s="91"/>
      <c r="T1" s="91"/>
      <c r="U1" s="91"/>
      <c r="BM1" s="307"/>
      <c r="BN1" s="307"/>
    </row>
    <row r="2" spans="2:66" ht="15.75" customHeight="1" x14ac:dyDescent="0.45">
      <c r="B2" s="724" t="s">
        <v>425</v>
      </c>
      <c r="C2" s="724"/>
      <c r="D2" s="724"/>
      <c r="E2" s="724"/>
      <c r="F2" s="724"/>
      <c r="G2" s="724"/>
      <c r="H2" s="724"/>
      <c r="I2" s="724"/>
      <c r="J2" s="724"/>
      <c r="K2" s="724"/>
      <c r="L2" s="724"/>
      <c r="M2" s="564"/>
      <c r="N2" s="564"/>
      <c r="O2" s="564"/>
      <c r="P2" s="503"/>
      <c r="Q2" s="91"/>
      <c r="R2" s="91"/>
      <c r="S2" s="91"/>
      <c r="T2" s="91"/>
      <c r="U2" s="91"/>
      <c r="Y2" s="369"/>
      <c r="Z2" s="370"/>
      <c r="BM2" s="307"/>
      <c r="BN2" s="307"/>
    </row>
    <row r="3" spans="2:66" ht="17.649999999999999" customHeight="1" x14ac:dyDescent="0.45">
      <c r="B3" s="724"/>
      <c r="C3" s="724"/>
      <c r="D3" s="724"/>
      <c r="E3" s="724"/>
      <c r="F3" s="724"/>
      <c r="G3" s="724"/>
      <c r="H3" s="724"/>
      <c r="I3" s="724"/>
      <c r="J3" s="724"/>
      <c r="K3" s="724"/>
      <c r="L3" s="724"/>
      <c r="M3" s="564"/>
      <c r="N3" s="564"/>
      <c r="O3" s="564"/>
      <c r="P3" s="503"/>
      <c r="Q3" s="91"/>
      <c r="R3" s="91"/>
      <c r="S3" s="91"/>
      <c r="T3" s="91"/>
      <c r="U3" s="91"/>
      <c r="Y3" s="371"/>
      <c r="AC3" s="372"/>
      <c r="BM3" s="307"/>
      <c r="BN3" s="307"/>
    </row>
    <row r="4" spans="2:66" x14ac:dyDescent="0.45">
      <c r="B4" s="445"/>
      <c r="C4" s="445"/>
      <c r="D4" s="445"/>
      <c r="E4" s="445"/>
      <c r="F4" s="445"/>
      <c r="G4" s="445"/>
      <c r="H4" s="445"/>
      <c r="I4" s="445"/>
      <c r="J4" s="445"/>
      <c r="K4" s="503"/>
      <c r="L4" s="503"/>
      <c r="M4" s="503"/>
      <c r="N4" s="503"/>
      <c r="O4" s="503"/>
      <c r="P4" s="503"/>
      <c r="Q4" s="91"/>
      <c r="R4" s="91"/>
      <c r="S4" s="91"/>
      <c r="T4" s="91"/>
      <c r="U4" s="91"/>
      <c r="Y4" s="89"/>
      <c r="BM4" s="307"/>
      <c r="BN4" s="307"/>
    </row>
    <row r="5" spans="2:66" x14ac:dyDescent="0.45">
      <c r="B5" s="583" t="s">
        <v>143</v>
      </c>
      <c r="C5" s="584"/>
      <c r="D5" s="584"/>
      <c r="E5" s="584"/>
      <c r="F5" s="584"/>
      <c r="G5" s="584"/>
      <c r="H5" s="584"/>
      <c r="I5" s="584"/>
      <c r="J5" s="584"/>
      <c r="K5" s="630"/>
      <c r="L5" s="631"/>
      <c r="M5" s="503"/>
      <c r="N5" s="503"/>
      <c r="O5" s="503"/>
      <c r="P5" s="503"/>
      <c r="Q5" s="91"/>
      <c r="R5" s="91"/>
      <c r="S5" s="91"/>
      <c r="T5" s="91"/>
      <c r="U5" s="91"/>
      <c r="Y5" s="89"/>
      <c r="BM5" s="307"/>
      <c r="BN5" s="307"/>
    </row>
    <row r="6" spans="2:66" x14ac:dyDescent="0.45">
      <c r="B6" s="101" t="s">
        <v>391</v>
      </c>
      <c r="C6" s="447"/>
      <c r="D6" s="447"/>
      <c r="E6" s="447"/>
      <c r="F6" s="447"/>
      <c r="G6" s="447"/>
      <c r="H6" s="447"/>
      <c r="I6" s="447"/>
      <c r="J6" s="447"/>
      <c r="K6" s="629"/>
      <c r="L6" s="632"/>
      <c r="M6" s="503"/>
      <c r="N6" s="503"/>
      <c r="O6" s="503"/>
      <c r="P6" s="503"/>
      <c r="Q6" s="91"/>
      <c r="R6" s="91"/>
      <c r="S6" s="91"/>
      <c r="T6" s="91"/>
      <c r="U6" s="91"/>
      <c r="Y6" s="89"/>
      <c r="BM6" s="307"/>
      <c r="BN6" s="307"/>
    </row>
    <row r="7" spans="2:66" x14ac:dyDescent="0.45">
      <c r="B7" s="585" t="s">
        <v>238</v>
      </c>
      <c r="C7" s="447"/>
      <c r="D7" s="447"/>
      <c r="E7" s="447"/>
      <c r="F7" s="447"/>
      <c r="G7" s="447"/>
      <c r="H7" s="447"/>
      <c r="I7" s="447"/>
      <c r="J7" s="447"/>
      <c r="K7" s="629"/>
      <c r="L7" s="632"/>
      <c r="M7" s="503"/>
      <c r="N7" s="503"/>
      <c r="O7" s="503"/>
      <c r="P7" s="503"/>
      <c r="Q7" s="91"/>
      <c r="R7" s="91"/>
      <c r="S7" s="91"/>
      <c r="T7" s="91"/>
      <c r="U7" s="91"/>
      <c r="Y7" s="89"/>
      <c r="BM7" s="307"/>
      <c r="BN7" s="307"/>
    </row>
    <row r="8" spans="2:66" x14ac:dyDescent="0.45">
      <c r="B8" s="585" t="s">
        <v>239</v>
      </c>
      <c r="C8" s="447"/>
      <c r="D8" s="447"/>
      <c r="E8" s="447"/>
      <c r="F8" s="447"/>
      <c r="G8" s="447"/>
      <c r="H8" s="447"/>
      <c r="I8" s="447"/>
      <c r="J8" s="447"/>
      <c r="K8" s="629"/>
      <c r="L8" s="632"/>
      <c r="M8" s="503"/>
      <c r="N8" s="503"/>
      <c r="O8" s="503"/>
      <c r="P8" s="503"/>
      <c r="Q8" s="91"/>
      <c r="R8" s="91"/>
      <c r="S8" s="91"/>
      <c r="T8" s="91"/>
      <c r="U8" s="91"/>
      <c r="Y8" s="89"/>
      <c r="BM8" s="307"/>
      <c r="BN8" s="307"/>
    </row>
    <row r="9" spans="2:66" x14ac:dyDescent="0.45">
      <c r="B9" s="448"/>
      <c r="C9" s="449"/>
      <c r="D9" s="449"/>
      <c r="E9" s="449"/>
      <c r="F9" s="449"/>
      <c r="G9" s="449"/>
      <c r="H9" s="449"/>
      <c r="I9" s="449"/>
      <c r="J9" s="449"/>
      <c r="K9" s="449"/>
      <c r="L9" s="450"/>
      <c r="M9" s="445"/>
      <c r="N9" s="445"/>
      <c r="O9" s="445"/>
      <c r="P9" s="445"/>
      <c r="Y9" s="89"/>
      <c r="BM9" s="307"/>
      <c r="BN9" s="307"/>
    </row>
    <row r="10" spans="2:66" x14ac:dyDescent="0.45">
      <c r="B10" s="445"/>
      <c r="C10" s="445"/>
      <c r="D10" s="446"/>
      <c r="E10" s="445"/>
      <c r="F10" s="445"/>
      <c r="G10" s="445"/>
      <c r="H10" s="445"/>
      <c r="I10" s="445"/>
      <c r="J10" s="445"/>
      <c r="K10" s="445"/>
      <c r="L10" s="445"/>
      <c r="M10" s="445"/>
      <c r="N10" s="445"/>
      <c r="O10" s="445"/>
      <c r="P10" s="445"/>
      <c r="Y10" s="89"/>
      <c r="BM10" s="307"/>
      <c r="BN10" s="307"/>
    </row>
    <row r="11" spans="2:66" x14ac:dyDescent="0.45">
      <c r="B11" s="725" t="s">
        <v>240</v>
      </c>
      <c r="C11" s="725"/>
      <c r="D11" s="725"/>
      <c r="E11" s="725"/>
      <c r="F11" s="725"/>
      <c r="G11" s="725"/>
      <c r="H11" s="725"/>
      <c r="I11" s="725"/>
      <c r="J11" s="725"/>
      <c r="K11" s="725"/>
      <c r="L11" s="725"/>
      <c r="M11" s="445"/>
      <c r="N11" s="445"/>
      <c r="O11" s="445"/>
      <c r="P11" s="445"/>
      <c r="Y11" s="89"/>
      <c r="BM11" s="307"/>
      <c r="BN11" s="307"/>
    </row>
    <row r="12" spans="2:66" ht="14.65" thickBot="1" x14ac:dyDescent="0.5">
      <c r="B12" s="445"/>
      <c r="C12" s="445"/>
      <c r="D12" s="446"/>
      <c r="E12" s="445"/>
      <c r="F12" s="447"/>
      <c r="G12" s="447"/>
      <c r="H12" s="445"/>
      <c r="I12" s="445"/>
      <c r="J12" s="445"/>
      <c r="K12" s="445"/>
      <c r="L12" s="445"/>
      <c r="M12" s="445"/>
      <c r="N12" s="445"/>
      <c r="O12" s="445"/>
      <c r="P12" s="445"/>
      <c r="Y12" s="89"/>
      <c r="BM12" s="307"/>
      <c r="BN12" s="307"/>
    </row>
    <row r="13" spans="2:66" x14ac:dyDescent="0.45">
      <c r="B13" s="746" t="s">
        <v>10</v>
      </c>
      <c r="C13" s="747"/>
      <c r="D13" s="748"/>
      <c r="E13" s="307"/>
      <c r="F13" s="466"/>
      <c r="G13" s="466"/>
      <c r="H13" s="307"/>
      <c r="I13" s="445"/>
      <c r="J13" s="445"/>
      <c r="K13" s="445"/>
      <c r="L13" s="445"/>
      <c r="M13" s="445"/>
      <c r="N13" s="445"/>
      <c r="O13" s="445"/>
      <c r="P13" s="445"/>
      <c r="Y13" s="89"/>
      <c r="BM13" s="307"/>
      <c r="BN13" s="307"/>
    </row>
    <row r="14" spans="2:66" x14ac:dyDescent="0.45">
      <c r="B14" s="603" t="s">
        <v>383</v>
      </c>
      <c r="C14" s="465"/>
      <c r="D14" s="634" t="str">
        <f>IF(F154&lt;=0,"YES",IF(G154&lt;=0,"YES",IF(H154&lt;=0,"YES",IF(I154&lt;=0,"YES",IF(J154&lt;=0,"YES",IF(K154&lt;=0,"YES",IF(L154&lt;=0,"YES",IF(M154&lt;=0,"YES",IF(N154&lt;=0,"YES",IF(O154&lt;=0,"YES",IF(P154&lt;=0,"YES",IF(Q154&lt;=0,"YES",IF(R154&lt;=0,"YES",IF(S154&lt;=0,"YES",IF(T154&lt;=0,"YES",IF(U154&lt;=0,"YES",IF(V154&lt;=0,"YES",IF(W154&lt;=0,"YES",IF(X154&lt;=0,"YES",IF(Y154&lt;=0,"YES",IF(Z154&lt;=0,"YES",IF(AA154&lt;=0,"YES",IF(AB154&lt;=0,"YES",IF(AC154&lt;=0,"YES",IF(AD154&lt;=0,"YES",IF(AE154&lt;=0,"YES",IF(AF154&lt;=0,"YES",IF(AG154&lt;=0,"YES",IF(AH154&lt;=0,"YES",IF(AI154&lt;=0,"YES",IF(AJ154&lt;=0,"YES",IF(AK154&lt;=0,"YES",IF(AL154&lt;=0,"YES",IF(AM154&lt;=0,"YES",IF(AN154&lt;=0,"YES",IF(AO154&lt;=0,"YES",IF(AP154&lt;=0,"YES",IF(AQ154&lt;=0,"YES",IF(AR154&lt;=0,"YES",IF(AS154&lt;=0,"YES",IF(AT154&lt;=0,"YES",IF(AU154&lt;=0,"YES",IF(AV154&lt;=0,"YES",IF(AW154&lt;=0,"YES",IF(AX154&lt;=0,"YES",IF(AY154&lt;=0,"YES",IF(AZ154&lt;=0,"YES",IF(BA154&lt;=0,"YES",IF(BB154&lt;=0,"YES",IF(BC154&lt;=0,"YES",IF(BD154&lt;=0,"YES",IF(BE154&lt;=0,"YES",IF(BF154&lt;=0,"YES",IF(BG154&lt;=0,"YES",IF(BH154&lt;=0,"YES",IF(BI154&lt;=0,"YES",IF(BJ154&lt;=0,"YES",IF(BK154&lt;=0,"YES",IF(BL154&lt;=0,"YES",IF(BM154&lt;=0,"YES","NO"))))))))))))))))))))))))))))))))))))))))))))))))))))))))))))</f>
        <v>YES</v>
      </c>
      <c r="E14" s="307"/>
      <c r="F14" s="456"/>
      <c r="G14" s="456"/>
      <c r="H14" s="307"/>
      <c r="I14" s="445"/>
      <c r="J14" s="445"/>
      <c r="K14" s="445"/>
      <c r="L14" s="445"/>
      <c r="M14" s="445"/>
      <c r="N14" s="445"/>
      <c r="O14" s="445"/>
      <c r="P14" s="445"/>
      <c r="Y14" s="89"/>
      <c r="BM14" s="307"/>
      <c r="BN14" s="307"/>
    </row>
    <row r="15" spans="2:66" x14ac:dyDescent="0.45">
      <c r="B15" s="373" t="s">
        <v>368</v>
      </c>
      <c r="C15" s="116"/>
      <c r="D15" s="374">
        <f>MAX($F$158:$BM$158)</f>
        <v>1711960.9792960661</v>
      </c>
      <c r="E15" s="341"/>
      <c r="F15" s="116"/>
      <c r="G15" s="345"/>
      <c r="H15" s="307"/>
      <c r="I15" s="445"/>
      <c r="J15" s="445"/>
      <c r="K15" s="445"/>
      <c r="L15" s="445"/>
      <c r="M15" s="445"/>
      <c r="N15" s="445"/>
      <c r="O15" s="445"/>
      <c r="P15" s="445"/>
      <c r="Y15" s="89"/>
      <c r="BM15" s="307"/>
      <c r="BN15" s="307"/>
    </row>
    <row r="16" spans="2:66" x14ac:dyDescent="0.45">
      <c r="B16" s="373" t="s">
        <v>369</v>
      </c>
      <c r="C16" s="116"/>
      <c r="D16" s="375">
        <f>_xlfn.XLOOKUP(D15,$F$158:$BM$158,$F$114:$BM$114)</f>
        <v>24</v>
      </c>
      <c r="E16" s="341"/>
      <c r="F16" s="116"/>
      <c r="G16" s="407"/>
      <c r="H16" s="307"/>
      <c r="I16" s="445"/>
      <c r="J16" s="445"/>
      <c r="K16" s="445"/>
      <c r="L16" s="445"/>
      <c r="M16" s="445"/>
      <c r="N16" s="445"/>
      <c r="O16" s="445"/>
      <c r="P16" s="445"/>
      <c r="Y16" s="89"/>
      <c r="BM16" s="307"/>
      <c r="BN16" s="307"/>
    </row>
    <row r="17" spans="2:66" ht="14.65" thickBot="1" x14ac:dyDescent="0.5">
      <c r="B17" s="604" t="s">
        <v>241</v>
      </c>
      <c r="C17" s="605"/>
      <c r="D17" s="606">
        <f>_xlfn.XLOOKUP('Detailed Feasibility'!D48,'Detailed Feasibility'!$F$114:$BM$114,'Detailed Feasibility'!$F$158:$BM$158)</f>
        <v>0</v>
      </c>
      <c r="E17" s="341"/>
      <c r="F17" s="116"/>
      <c r="G17" s="345"/>
      <c r="H17" s="307"/>
      <c r="I17" s="445"/>
      <c r="J17" s="445"/>
      <c r="K17" s="445"/>
      <c r="L17" s="445"/>
      <c r="M17" s="445"/>
      <c r="N17" s="445"/>
      <c r="O17" s="445"/>
      <c r="P17" s="445"/>
      <c r="Y17" s="89"/>
      <c r="BM17" s="307"/>
      <c r="BN17" s="307"/>
    </row>
    <row r="18" spans="2:66" x14ac:dyDescent="0.45">
      <c r="B18" s="445"/>
      <c r="C18" s="445"/>
      <c r="D18" s="446"/>
      <c r="E18" s="445"/>
      <c r="F18" s="445"/>
      <c r="G18" s="445"/>
      <c r="H18" s="445"/>
      <c r="I18" s="445"/>
      <c r="J18" s="445"/>
      <c r="K18" s="445"/>
      <c r="L18" s="445"/>
      <c r="M18" s="445"/>
      <c r="N18" s="445"/>
      <c r="O18" s="445"/>
      <c r="P18" s="445"/>
      <c r="Y18" s="89"/>
      <c r="BM18" s="307"/>
      <c r="BN18" s="307"/>
    </row>
    <row r="19" spans="2:66" x14ac:dyDescent="0.45">
      <c r="B19" s="745" t="s">
        <v>392</v>
      </c>
      <c r="C19" s="745"/>
      <c r="D19" s="745"/>
      <c r="E19" s="745"/>
      <c r="F19" s="745"/>
      <c r="G19" s="745"/>
      <c r="H19" s="745"/>
      <c r="I19" s="745"/>
      <c r="J19" s="745"/>
      <c r="K19" s="445"/>
      <c r="L19" s="445"/>
      <c r="M19" s="445"/>
      <c r="N19" s="445"/>
      <c r="O19" s="445"/>
      <c r="P19" s="445"/>
      <c r="Y19" s="89"/>
      <c r="BM19" s="307"/>
      <c r="BN19" s="307"/>
    </row>
    <row r="20" spans="2:66" x14ac:dyDescent="0.45">
      <c r="B20" s="445"/>
      <c r="C20" s="445"/>
      <c r="D20" s="446"/>
      <c r="E20" s="445"/>
      <c r="F20" s="445"/>
      <c r="G20" s="445"/>
      <c r="H20" s="445"/>
      <c r="I20" s="445"/>
      <c r="J20" s="445"/>
      <c r="K20" s="445"/>
      <c r="L20" s="445"/>
      <c r="M20" s="445"/>
      <c r="N20" s="445"/>
      <c r="O20" s="445"/>
      <c r="P20" s="445"/>
      <c r="Y20" s="89"/>
      <c r="BM20" s="307"/>
      <c r="BN20" s="307"/>
    </row>
    <row r="21" spans="2:66" x14ac:dyDescent="0.45">
      <c r="B21" s="445"/>
      <c r="C21" s="445"/>
      <c r="D21" s="446"/>
      <c r="E21" s="445"/>
      <c r="F21" s="445"/>
      <c r="G21" s="445"/>
      <c r="H21" s="445"/>
      <c r="I21" s="445"/>
      <c r="J21" s="445"/>
      <c r="K21" s="445"/>
      <c r="L21" s="445"/>
      <c r="M21" s="445"/>
      <c r="N21" s="445"/>
      <c r="O21" s="445"/>
      <c r="P21" s="445"/>
      <c r="Y21" s="89"/>
      <c r="BM21" s="307"/>
      <c r="BN21" s="307"/>
    </row>
    <row r="22" spans="2:66" x14ac:dyDescent="0.45">
      <c r="B22" s="445"/>
      <c r="C22" s="445"/>
      <c r="D22" s="446"/>
      <c r="E22" s="445"/>
      <c r="F22" s="445"/>
      <c r="G22" s="445"/>
      <c r="H22" s="445"/>
      <c r="I22" s="445"/>
      <c r="J22" s="445"/>
      <c r="K22" s="445"/>
      <c r="L22" s="445"/>
      <c r="M22" s="445"/>
      <c r="N22" s="445"/>
      <c r="O22" s="445"/>
      <c r="P22" s="445"/>
      <c r="Y22" s="89"/>
      <c r="BM22" s="307"/>
      <c r="BN22" s="307"/>
    </row>
    <row r="23" spans="2:66" x14ac:dyDescent="0.45">
      <c r="B23" s="445"/>
      <c r="C23" s="445"/>
      <c r="D23" s="446"/>
      <c r="E23" s="445"/>
      <c r="F23" s="445"/>
      <c r="G23" s="445"/>
      <c r="H23" s="445"/>
      <c r="I23" s="445"/>
      <c r="J23" s="445"/>
      <c r="K23" s="445"/>
      <c r="L23" s="445"/>
      <c r="M23" s="445"/>
      <c r="N23" s="445"/>
      <c r="O23" s="445"/>
      <c r="P23" s="445"/>
      <c r="Y23" s="89"/>
      <c r="BM23" s="307"/>
      <c r="BN23" s="307"/>
    </row>
    <row r="24" spans="2:66" x14ac:dyDescent="0.45">
      <c r="B24" s="445"/>
      <c r="C24" s="445"/>
      <c r="D24" s="446"/>
      <c r="E24" s="445"/>
      <c r="F24" s="445"/>
      <c r="G24" s="445"/>
      <c r="H24" s="445"/>
      <c r="I24" s="445"/>
      <c r="J24" s="445"/>
      <c r="K24" s="445"/>
      <c r="L24" s="445"/>
      <c r="M24" s="445"/>
      <c r="N24" s="445"/>
      <c r="O24" s="445"/>
      <c r="P24" s="445"/>
      <c r="Y24" s="89"/>
      <c r="BM24" s="307"/>
      <c r="BN24" s="307"/>
    </row>
    <row r="25" spans="2:66" x14ac:dyDescent="0.45">
      <c r="B25" s="445"/>
      <c r="C25" s="445"/>
      <c r="D25" s="446"/>
      <c r="E25" s="445"/>
      <c r="F25" s="445"/>
      <c r="G25" s="445"/>
      <c r="H25" s="445"/>
      <c r="I25" s="445"/>
      <c r="J25" s="445"/>
      <c r="K25" s="445"/>
      <c r="L25" s="445"/>
      <c r="M25" s="445"/>
      <c r="N25" s="445"/>
      <c r="O25" s="445"/>
      <c r="P25" s="445"/>
      <c r="Y25" s="89"/>
      <c r="BM25" s="307"/>
      <c r="BN25" s="307"/>
    </row>
    <row r="26" spans="2:66" x14ac:dyDescent="0.45">
      <c r="B26" s="445"/>
      <c r="C26" s="445"/>
      <c r="D26" s="446"/>
      <c r="E26" s="445"/>
      <c r="F26" s="445"/>
      <c r="G26" s="445"/>
      <c r="H26" s="445"/>
      <c r="I26" s="445"/>
      <c r="J26" s="445"/>
      <c r="K26" s="445"/>
      <c r="L26" s="445"/>
      <c r="M26" s="445"/>
      <c r="N26" s="445"/>
      <c r="O26" s="445"/>
      <c r="P26" s="445"/>
      <c r="Y26" s="89"/>
      <c r="BM26" s="307"/>
      <c r="BN26" s="307"/>
    </row>
    <row r="27" spans="2:66" x14ac:dyDescent="0.45">
      <c r="B27" s="445"/>
      <c r="C27" s="445"/>
      <c r="D27" s="446"/>
      <c r="E27" s="445"/>
      <c r="F27" s="445"/>
      <c r="G27" s="445"/>
      <c r="H27" s="445"/>
      <c r="I27" s="445"/>
      <c r="J27" s="445"/>
      <c r="K27" s="445"/>
      <c r="L27" s="445"/>
      <c r="M27" s="445"/>
      <c r="N27" s="445"/>
      <c r="O27" s="445"/>
      <c r="P27" s="445"/>
      <c r="Y27" s="89"/>
      <c r="BM27" s="307"/>
      <c r="BN27" s="307"/>
    </row>
    <row r="28" spans="2:66" x14ac:dyDescent="0.45">
      <c r="B28" s="445"/>
      <c r="C28" s="445"/>
      <c r="D28" s="446"/>
      <c r="E28" s="445"/>
      <c r="F28" s="445"/>
      <c r="G28" s="445"/>
      <c r="H28" s="445"/>
      <c r="I28" s="445"/>
      <c r="J28" s="445"/>
      <c r="K28" s="445"/>
      <c r="L28" s="445"/>
      <c r="M28" s="445"/>
      <c r="N28" s="445"/>
      <c r="O28" s="445"/>
      <c r="P28" s="445"/>
      <c r="Y28" s="89"/>
      <c r="BM28" s="307"/>
      <c r="BN28" s="307"/>
    </row>
    <row r="29" spans="2:66" x14ac:dyDescent="0.45">
      <c r="B29" s="445"/>
      <c r="C29" s="445"/>
      <c r="D29" s="446"/>
      <c r="E29" s="445"/>
      <c r="F29" s="445"/>
      <c r="G29" s="445"/>
      <c r="H29" s="445"/>
      <c r="I29" s="445"/>
      <c r="J29" s="445"/>
      <c r="K29" s="445"/>
      <c r="L29" s="445"/>
      <c r="M29" s="445"/>
      <c r="N29" s="445"/>
      <c r="O29" s="445"/>
      <c r="P29" s="445"/>
      <c r="Y29" s="89"/>
      <c r="BM29" s="307"/>
      <c r="BN29" s="307"/>
    </row>
    <row r="30" spans="2:66" x14ac:dyDescent="0.45">
      <c r="B30" s="445"/>
      <c r="C30" s="445"/>
      <c r="D30" s="446"/>
      <c r="E30" s="445"/>
      <c r="F30" s="445"/>
      <c r="G30" s="445"/>
      <c r="H30" s="445"/>
      <c r="I30" s="445"/>
      <c r="J30" s="445"/>
      <c r="K30" s="445"/>
      <c r="L30" s="445"/>
      <c r="M30" s="445"/>
      <c r="N30" s="445"/>
      <c r="O30" s="445"/>
      <c r="P30" s="445"/>
      <c r="Y30" s="89"/>
      <c r="BM30" s="307"/>
      <c r="BN30" s="307"/>
    </row>
    <row r="31" spans="2:66" x14ac:dyDescent="0.45">
      <c r="B31" s="445"/>
      <c r="C31" s="445"/>
      <c r="D31" s="446"/>
      <c r="E31" s="445"/>
      <c r="F31" s="445"/>
      <c r="G31" s="445"/>
      <c r="H31" s="445"/>
      <c r="I31" s="445"/>
      <c r="J31" s="445"/>
      <c r="K31" s="445"/>
      <c r="L31" s="445"/>
      <c r="M31" s="445"/>
      <c r="N31" s="445"/>
      <c r="O31" s="445"/>
      <c r="P31" s="445"/>
      <c r="Y31" s="89"/>
      <c r="BM31" s="307"/>
      <c r="BN31" s="307"/>
    </row>
    <row r="32" spans="2:66" x14ac:dyDescent="0.45">
      <c r="B32" s="445"/>
      <c r="C32" s="445"/>
      <c r="D32" s="446"/>
      <c r="E32" s="445"/>
      <c r="F32" s="445"/>
      <c r="G32" s="445"/>
      <c r="H32" s="445"/>
      <c r="I32" s="445"/>
      <c r="J32" s="445"/>
      <c r="K32" s="445"/>
      <c r="L32" s="445"/>
      <c r="M32" s="445"/>
      <c r="N32" s="445"/>
      <c r="O32" s="445"/>
      <c r="P32" s="445"/>
      <c r="Y32" s="89"/>
      <c r="BM32" s="307"/>
      <c r="BN32" s="307"/>
    </row>
    <row r="33" spans="2:66" x14ac:dyDescent="0.45">
      <c r="B33" s="445"/>
      <c r="C33" s="445"/>
      <c r="D33" s="446"/>
      <c r="E33" s="445"/>
      <c r="F33" s="445"/>
      <c r="G33" s="445"/>
      <c r="H33" s="445"/>
      <c r="I33" s="445"/>
      <c r="J33" s="445"/>
      <c r="K33" s="445"/>
      <c r="L33" s="445"/>
      <c r="M33" s="445"/>
      <c r="N33" s="445"/>
      <c r="O33" s="445"/>
      <c r="P33" s="445"/>
      <c r="Y33" s="89"/>
      <c r="BM33" s="307"/>
      <c r="BN33" s="307"/>
    </row>
    <row r="34" spans="2:66" x14ac:dyDescent="0.45">
      <c r="B34" s="445"/>
      <c r="C34" s="445"/>
      <c r="D34" s="446"/>
      <c r="E34" s="445"/>
      <c r="F34" s="445"/>
      <c r="G34" s="445"/>
      <c r="H34" s="445"/>
      <c r="I34" s="445"/>
      <c r="J34" s="445"/>
      <c r="K34" s="445"/>
      <c r="L34" s="445"/>
      <c r="M34" s="445"/>
      <c r="N34" s="445"/>
      <c r="O34" s="445"/>
      <c r="P34" s="445"/>
      <c r="Y34" s="89"/>
      <c r="BM34" s="307"/>
      <c r="BN34" s="307"/>
    </row>
    <row r="35" spans="2:66" x14ac:dyDescent="0.45">
      <c r="B35" s="445"/>
      <c r="C35" s="445"/>
      <c r="D35" s="446"/>
      <c r="E35" s="445"/>
      <c r="F35" s="445"/>
      <c r="G35" s="445"/>
      <c r="H35" s="445"/>
      <c r="I35" s="445"/>
      <c r="J35" s="445"/>
      <c r="K35" s="445"/>
      <c r="L35" s="445"/>
      <c r="M35" s="445"/>
      <c r="N35" s="445"/>
      <c r="O35" s="445"/>
      <c r="P35" s="445"/>
      <c r="Y35" s="89"/>
      <c r="BM35" s="307"/>
      <c r="BN35" s="307"/>
    </row>
    <row r="36" spans="2:66" x14ac:dyDescent="0.45">
      <c r="B36" s="445"/>
      <c r="C36" s="445"/>
      <c r="D36" s="446"/>
      <c r="E36" s="445"/>
      <c r="F36" s="445"/>
      <c r="G36" s="445"/>
      <c r="H36" s="445"/>
      <c r="I36" s="445"/>
      <c r="J36" s="445"/>
      <c r="K36" s="445"/>
      <c r="L36" s="445"/>
      <c r="M36" s="445"/>
      <c r="N36" s="445"/>
      <c r="O36" s="445"/>
      <c r="P36" s="445"/>
      <c r="Y36" s="89"/>
      <c r="BM36" s="307"/>
      <c r="BN36" s="307"/>
    </row>
    <row r="37" spans="2:66" x14ac:dyDescent="0.45">
      <c r="B37" s="445"/>
      <c r="C37" s="445"/>
      <c r="D37" s="446"/>
      <c r="E37" s="445"/>
      <c r="F37" s="445"/>
      <c r="G37" s="445"/>
      <c r="H37" s="445"/>
      <c r="I37" s="445"/>
      <c r="J37" s="445"/>
      <c r="K37" s="445"/>
      <c r="L37" s="445"/>
      <c r="M37" s="445"/>
      <c r="N37" s="445"/>
      <c r="O37" s="445"/>
      <c r="P37" s="445"/>
      <c r="Y37" s="89"/>
      <c r="BM37" s="307"/>
      <c r="BN37" s="307"/>
    </row>
    <row r="38" spans="2:66" x14ac:dyDescent="0.45">
      <c r="B38" s="445"/>
      <c r="C38" s="445"/>
      <c r="D38" s="446"/>
      <c r="E38" s="445"/>
      <c r="F38" s="445"/>
      <c r="G38" s="445"/>
      <c r="H38" s="445"/>
      <c r="I38" s="445"/>
      <c r="J38" s="445"/>
      <c r="K38" s="445"/>
      <c r="L38" s="445"/>
      <c r="M38" s="445"/>
      <c r="N38" s="445"/>
      <c r="O38" s="445"/>
      <c r="P38" s="445"/>
      <c r="Y38" s="89"/>
      <c r="BM38" s="307"/>
      <c r="BN38" s="307"/>
    </row>
    <row r="39" spans="2:66" x14ac:dyDescent="0.45">
      <c r="B39" s="445"/>
      <c r="C39" s="445"/>
      <c r="D39" s="446"/>
      <c r="E39" s="445"/>
      <c r="F39" s="445"/>
      <c r="G39" s="445"/>
      <c r="H39" s="445"/>
      <c r="I39" s="445"/>
      <c r="J39" s="445"/>
      <c r="K39" s="445"/>
      <c r="L39" s="445"/>
      <c r="M39" s="445"/>
      <c r="N39" s="445"/>
      <c r="O39" s="445"/>
      <c r="P39" s="445"/>
      <c r="Y39" s="89"/>
      <c r="BM39" s="307"/>
      <c r="BN39" s="307"/>
    </row>
    <row r="40" spans="2:66" x14ac:dyDescent="0.45">
      <c r="B40" s="445"/>
      <c r="C40" s="445"/>
      <c r="D40" s="446"/>
      <c r="E40" s="445"/>
      <c r="F40" s="445"/>
      <c r="G40" s="445"/>
      <c r="H40" s="445"/>
      <c r="I40" s="445"/>
      <c r="J40" s="445"/>
      <c r="K40" s="445"/>
      <c r="L40" s="445"/>
      <c r="M40" s="445"/>
      <c r="N40" s="445"/>
      <c r="O40" s="445"/>
      <c r="P40" s="445"/>
      <c r="Y40" s="89"/>
      <c r="BM40" s="307"/>
      <c r="BN40" s="307"/>
    </row>
    <row r="41" spans="2:66" x14ac:dyDescent="0.45">
      <c r="B41" s="445"/>
      <c r="C41" s="445"/>
      <c r="D41" s="446"/>
      <c r="E41" s="445"/>
      <c r="F41" s="445"/>
      <c r="G41" s="445"/>
      <c r="H41" s="445"/>
      <c r="I41" s="445"/>
      <c r="J41" s="445"/>
      <c r="K41" s="445"/>
      <c r="L41" s="445"/>
      <c r="M41" s="445"/>
      <c r="N41" s="445"/>
      <c r="O41" s="445"/>
      <c r="P41" s="445"/>
      <c r="Y41" s="89"/>
      <c r="BM41" s="307"/>
      <c r="BN41" s="307"/>
    </row>
    <row r="42" spans="2:66" x14ac:dyDescent="0.45">
      <c r="B42" s="725" t="s">
        <v>390</v>
      </c>
      <c r="C42" s="725"/>
      <c r="D42" s="725"/>
      <c r="E42" s="725"/>
      <c r="F42" s="725"/>
      <c r="G42" s="725"/>
      <c r="H42" s="725"/>
      <c r="I42" s="725"/>
      <c r="J42" s="725"/>
      <c r="K42" s="725"/>
      <c r="L42" s="725"/>
      <c r="M42" s="445"/>
      <c r="N42" s="445"/>
      <c r="O42" s="445"/>
      <c r="P42" s="445"/>
      <c r="Y42" s="89"/>
      <c r="BM42" s="307"/>
      <c r="BN42" s="307"/>
    </row>
    <row r="43" spans="2:66" x14ac:dyDescent="0.45">
      <c r="B43" s="445"/>
      <c r="C43" s="445"/>
      <c r="D43" s="446"/>
      <c r="E43" s="445"/>
      <c r="F43" s="445"/>
      <c r="G43" s="445"/>
      <c r="H43" s="445"/>
      <c r="I43" s="445"/>
      <c r="J43" s="445"/>
      <c r="K43" s="445"/>
      <c r="L43" s="445"/>
      <c r="M43" s="445"/>
      <c r="N43" s="445"/>
      <c r="O43" s="445"/>
      <c r="P43" s="445"/>
      <c r="Y43" s="89"/>
      <c r="BM43" s="307"/>
      <c r="BN43" s="307"/>
    </row>
    <row r="44" spans="2:66" x14ac:dyDescent="0.45">
      <c r="B44" s="457" t="s">
        <v>365</v>
      </c>
      <c r="C44" s="445"/>
      <c r="D44" s="446"/>
      <c r="E44" s="445"/>
      <c r="F44" s="445"/>
      <c r="G44" s="445"/>
      <c r="H44" s="445"/>
      <c r="I44" s="445"/>
      <c r="J44" s="445"/>
      <c r="K44" s="445"/>
      <c r="L44" s="445"/>
      <c r="M44" s="445"/>
      <c r="N44" s="445"/>
      <c r="O44" s="445"/>
      <c r="P44" s="445"/>
      <c r="Y44" s="89"/>
      <c r="BM44" s="307"/>
      <c r="BN44" s="307"/>
    </row>
    <row r="45" spans="2:66" x14ac:dyDescent="0.45">
      <c r="B45" s="457"/>
      <c r="C45" s="445"/>
      <c r="D45" s="446"/>
      <c r="E45" s="445"/>
      <c r="F45" s="445"/>
      <c r="G45" s="445"/>
      <c r="H45" s="445"/>
      <c r="I45" s="445"/>
      <c r="J45" s="445"/>
      <c r="K45" s="445"/>
      <c r="L45" s="445"/>
      <c r="M45" s="445"/>
      <c r="N45" s="445"/>
      <c r="O45" s="445"/>
      <c r="P45" s="445"/>
      <c r="Y45" s="89"/>
      <c r="BM45" s="307"/>
      <c r="BN45" s="307"/>
    </row>
    <row r="46" spans="2:66" x14ac:dyDescent="0.45">
      <c r="B46" s="546" t="s">
        <v>145</v>
      </c>
      <c r="C46" s="547"/>
      <c r="D46" s="548">
        <v>44470</v>
      </c>
      <c r="E46" s="445"/>
      <c r="F46" s="445"/>
      <c r="G46" s="445"/>
      <c r="H46" s="445"/>
      <c r="I46" s="445"/>
      <c r="J46" s="445"/>
      <c r="K46" s="445"/>
      <c r="L46" s="445"/>
      <c r="M46" s="445"/>
      <c r="N46" s="445"/>
      <c r="O46" s="445"/>
      <c r="P46" s="445"/>
      <c r="Y46" s="89"/>
      <c r="BM46" s="307"/>
      <c r="BN46" s="307"/>
    </row>
    <row r="47" spans="2:66" x14ac:dyDescent="0.45">
      <c r="B47" s="546" t="s">
        <v>146</v>
      </c>
      <c r="C47" s="547"/>
      <c r="D47" s="548">
        <v>45566</v>
      </c>
      <c r="E47" s="445"/>
      <c r="F47" s="445"/>
      <c r="G47" s="445"/>
      <c r="H47" s="445"/>
      <c r="I47" s="445"/>
      <c r="J47" s="445"/>
      <c r="K47" s="445"/>
      <c r="L47" s="445"/>
      <c r="M47" s="445"/>
      <c r="N47" s="445"/>
      <c r="O47" s="445"/>
      <c r="P47" s="445"/>
      <c r="Y47" s="89"/>
      <c r="BM47" s="307"/>
      <c r="BN47" s="307"/>
    </row>
    <row r="48" spans="2:66" x14ac:dyDescent="0.45">
      <c r="B48" s="546" t="s">
        <v>395</v>
      </c>
      <c r="C48" s="549"/>
      <c r="D48" s="550">
        <f>DATEDIF(D46,D47,"M")+1</f>
        <v>37</v>
      </c>
      <c r="E48" s="445"/>
      <c r="F48" s="445"/>
      <c r="G48" s="445"/>
      <c r="H48" s="445"/>
      <c r="I48" s="445"/>
      <c r="J48" s="445"/>
      <c r="K48" s="445"/>
      <c r="L48" s="445"/>
      <c r="M48" s="445"/>
      <c r="N48" s="445"/>
      <c r="O48" s="445"/>
      <c r="P48" s="445"/>
      <c r="Y48" s="89"/>
      <c r="BM48" s="307"/>
      <c r="BN48" s="307"/>
    </row>
    <row r="49" spans="2:66" x14ac:dyDescent="0.45">
      <c r="B49" s="445"/>
      <c r="C49" s="445"/>
      <c r="D49" s="446"/>
      <c r="E49" s="445"/>
      <c r="F49" s="445"/>
      <c r="G49" s="445"/>
      <c r="H49" s="445"/>
      <c r="I49" s="445"/>
      <c r="J49" s="445"/>
      <c r="K49" s="445"/>
      <c r="L49" s="445"/>
      <c r="M49" s="445"/>
      <c r="N49" s="445"/>
      <c r="O49" s="445"/>
      <c r="P49" s="445"/>
      <c r="Y49" s="89"/>
      <c r="BM49" s="307"/>
      <c r="BN49" s="307"/>
    </row>
    <row r="50" spans="2:66" x14ac:dyDescent="0.45">
      <c r="B50" s="367" t="s">
        <v>242</v>
      </c>
      <c r="C50" s="445"/>
      <c r="D50" s="446"/>
      <c r="E50" s="445"/>
      <c r="F50" s="445"/>
      <c r="G50" s="445"/>
      <c r="H50" s="445"/>
      <c r="I50" s="445"/>
      <c r="J50" s="445"/>
      <c r="K50" s="445"/>
      <c r="L50" s="445"/>
      <c r="M50" s="445"/>
      <c r="N50" s="445"/>
      <c r="O50" s="445"/>
      <c r="P50" s="445"/>
      <c r="Y50" s="89"/>
      <c r="BM50" s="307"/>
      <c r="BN50" s="307"/>
    </row>
    <row r="51" spans="2:66" x14ac:dyDescent="0.45">
      <c r="B51" s="445"/>
      <c r="C51" s="445"/>
      <c r="D51" s="446"/>
      <c r="E51" s="445"/>
      <c r="F51" s="445"/>
      <c r="G51" s="445"/>
      <c r="H51" s="445"/>
      <c r="I51" s="445"/>
      <c r="J51" s="445"/>
      <c r="K51" s="445"/>
      <c r="L51" s="445"/>
      <c r="M51" s="445"/>
      <c r="N51" s="445"/>
      <c r="O51" s="445"/>
      <c r="P51" s="445"/>
      <c r="Y51" s="89"/>
      <c r="BM51" s="307"/>
      <c r="BN51" s="307"/>
    </row>
    <row r="52" spans="2:66" x14ac:dyDescent="0.45">
      <c r="B52" s="400" t="s">
        <v>243</v>
      </c>
      <c r="C52" s="482" t="s">
        <v>244</v>
      </c>
      <c r="D52" s="483" t="s">
        <v>245</v>
      </c>
      <c r="E52" s="445"/>
      <c r="F52" s="445"/>
      <c r="G52" s="445"/>
      <c r="H52" s="445"/>
      <c r="I52" s="445"/>
      <c r="J52" s="445"/>
      <c r="K52" s="445"/>
      <c r="L52" s="445"/>
      <c r="M52" s="445"/>
      <c r="N52" s="445"/>
      <c r="O52" s="445"/>
      <c r="P52" s="445"/>
      <c r="Y52" s="89"/>
      <c r="BM52" s="307"/>
      <c r="BN52" s="307"/>
    </row>
    <row r="53" spans="2:66" x14ac:dyDescent="0.45">
      <c r="B53" s="340" t="s">
        <v>246</v>
      </c>
      <c r="C53" s="393">
        <v>1</v>
      </c>
      <c r="D53" s="376"/>
      <c r="E53" s="445"/>
      <c r="F53" s="445"/>
      <c r="G53" s="445"/>
      <c r="H53" s="445"/>
      <c r="I53" s="445"/>
      <c r="J53" s="445"/>
      <c r="K53" s="445"/>
      <c r="L53" s="445"/>
      <c r="M53" s="445"/>
      <c r="N53" s="445"/>
      <c r="O53" s="445"/>
      <c r="P53" s="445"/>
      <c r="Y53" s="89"/>
      <c r="BM53" s="307"/>
      <c r="BN53" s="307"/>
    </row>
    <row r="54" spans="2:66" x14ac:dyDescent="0.45">
      <c r="B54" s="340" t="str">
        <f>'Detailed Feasibility Inputs'!B70</f>
        <v>Site Civils &amp; Infrastructure</v>
      </c>
      <c r="C54" s="393">
        <v>18</v>
      </c>
      <c r="D54" s="377">
        <v>20</v>
      </c>
      <c r="E54" s="445"/>
      <c r="F54" s="445"/>
      <c r="G54" s="445"/>
      <c r="H54" s="445"/>
      <c r="I54" s="445"/>
      <c r="J54" s="445"/>
      <c r="K54" s="445"/>
      <c r="L54" s="445"/>
      <c r="M54" s="445"/>
      <c r="N54" s="445"/>
      <c r="O54" s="445"/>
      <c r="P54" s="445"/>
      <c r="Y54" s="89"/>
      <c r="BM54" s="307"/>
      <c r="BN54" s="307"/>
    </row>
    <row r="55" spans="2:66" x14ac:dyDescent="0.45">
      <c r="B55" s="340" t="str">
        <f>'Detailed Feasibility Inputs'!B85</f>
        <v>Professional Fees</v>
      </c>
      <c r="C55" s="393">
        <v>5</v>
      </c>
      <c r="D55" s="377">
        <v>20</v>
      </c>
      <c r="E55" s="445"/>
      <c r="F55" s="445"/>
      <c r="G55" s="445"/>
      <c r="H55" s="445"/>
      <c r="I55" s="445"/>
      <c r="J55" s="445"/>
      <c r="K55" s="445"/>
      <c r="L55" s="445"/>
      <c r="M55" s="445"/>
      <c r="N55" s="445"/>
      <c r="O55" s="445"/>
      <c r="P55" s="445"/>
      <c r="Y55" s="89"/>
      <c r="BM55" s="307"/>
      <c r="BN55" s="307"/>
    </row>
    <row r="56" spans="2:66" x14ac:dyDescent="0.45">
      <c r="B56" s="378" t="str">
        <f>'Detailed Feasibility Inputs'!B99</f>
        <v>Council Costs</v>
      </c>
      <c r="C56" s="379">
        <v>6</v>
      </c>
      <c r="D56" s="380">
        <v>20</v>
      </c>
      <c r="E56" s="445"/>
      <c r="F56" s="445"/>
      <c r="G56" s="445"/>
      <c r="H56" s="445"/>
      <c r="I56" s="445"/>
      <c r="J56" s="445"/>
      <c r="K56" s="445"/>
      <c r="L56" s="445"/>
      <c r="M56" s="445"/>
      <c r="N56" s="445"/>
      <c r="O56" s="445"/>
      <c r="P56" s="445"/>
      <c r="Y56" s="89"/>
      <c r="BM56" s="307"/>
      <c r="BN56" s="307"/>
    </row>
    <row r="57" spans="2:66" x14ac:dyDescent="0.45">
      <c r="B57" s="445"/>
      <c r="C57" s="445"/>
      <c r="D57" s="446"/>
      <c r="E57" s="445"/>
      <c r="F57" s="445"/>
      <c r="G57" s="445"/>
      <c r="H57" s="445"/>
      <c r="I57" s="445"/>
      <c r="J57" s="445"/>
      <c r="K57" s="445"/>
      <c r="L57" s="445"/>
      <c r="M57" s="445"/>
      <c r="N57" s="445"/>
      <c r="O57" s="445"/>
      <c r="P57" s="445"/>
      <c r="Y57" s="89"/>
      <c r="BM57" s="307"/>
      <c r="BN57" s="307"/>
    </row>
    <row r="58" spans="2:66" x14ac:dyDescent="0.45">
      <c r="B58" s="367" t="s">
        <v>247</v>
      </c>
      <c r="C58" s="445"/>
      <c r="D58" s="446"/>
      <c r="E58" s="445"/>
      <c r="F58" s="445"/>
      <c r="G58" s="445"/>
      <c r="H58" s="445"/>
      <c r="I58" s="445"/>
      <c r="J58" s="503"/>
      <c r="K58" s="503"/>
      <c r="L58" s="503"/>
      <c r="M58" s="503"/>
      <c r="N58" s="503"/>
      <c r="O58" s="503"/>
      <c r="P58" s="503"/>
      <c r="Q58" s="91"/>
      <c r="Y58" s="89"/>
      <c r="BM58" s="307"/>
      <c r="BN58" s="307"/>
    </row>
    <row r="59" spans="2:66" x14ac:dyDescent="0.45">
      <c r="B59" s="445"/>
      <c r="C59" s="445"/>
      <c r="D59" s="446"/>
      <c r="E59" s="445"/>
      <c r="F59" s="445"/>
      <c r="G59" s="445"/>
      <c r="H59" s="445"/>
      <c r="I59" s="445"/>
      <c r="J59" s="503"/>
      <c r="K59" s="503"/>
      <c r="L59" s="503"/>
      <c r="M59" s="503"/>
      <c r="N59" s="503"/>
      <c r="O59" s="503"/>
      <c r="P59" s="503"/>
      <c r="Q59" s="91"/>
      <c r="Y59" s="89"/>
      <c r="BM59" s="307"/>
      <c r="BN59" s="307"/>
    </row>
    <row r="60" spans="2:66" x14ac:dyDescent="0.45">
      <c r="B60" s="749" t="s">
        <v>248</v>
      </c>
      <c r="C60" s="751"/>
      <c r="D60" s="749" t="s">
        <v>249</v>
      </c>
      <c r="E60" s="750"/>
      <c r="F60" s="670" t="s">
        <v>250</v>
      </c>
      <c r="G60" s="671"/>
      <c r="H60" s="672"/>
      <c r="I60" s="608"/>
      <c r="J60" s="504"/>
      <c r="K60" s="454" t="s">
        <v>258</v>
      </c>
      <c r="L60" s="454"/>
      <c r="M60" s="454"/>
      <c r="N60" s="454" t="s">
        <v>259</v>
      </c>
      <c r="O60" s="454"/>
      <c r="P60" s="454"/>
      <c r="Q60" s="91"/>
      <c r="R60" s="91"/>
      <c r="S60" s="91"/>
      <c r="T60" s="16"/>
      <c r="U60" s="16"/>
      <c r="V60" s="16"/>
      <c r="W60" s="16"/>
      <c r="X60" s="16"/>
      <c r="Y60" s="593"/>
      <c r="Z60" s="16"/>
      <c r="AA60" s="16"/>
      <c r="AB60" s="16"/>
      <c r="AC60" s="16"/>
      <c r="BM60" s="307"/>
      <c r="BN60" s="307"/>
    </row>
    <row r="61" spans="2:66" x14ac:dyDescent="0.45">
      <c r="B61" s="304"/>
      <c r="C61" s="305"/>
      <c r="D61" s="304"/>
      <c r="E61" s="609"/>
      <c r="F61" s="92">
        <f>1/3</f>
        <v>0.33333333333333331</v>
      </c>
      <c r="G61" s="93">
        <f>1/3</f>
        <v>0.33333333333333331</v>
      </c>
      <c r="H61" s="610">
        <f>1/3</f>
        <v>0.33333333333333331</v>
      </c>
      <c r="I61" s="263"/>
      <c r="J61" s="263"/>
      <c r="K61" s="91"/>
      <c r="L61" s="91"/>
      <c r="M61" s="91"/>
      <c r="N61" s="91"/>
      <c r="O61" s="91"/>
      <c r="P61" s="91"/>
      <c r="Q61" s="91"/>
      <c r="R61" s="91"/>
      <c r="S61" s="91"/>
      <c r="T61" s="16"/>
      <c r="U61" s="16"/>
      <c r="V61" s="16"/>
      <c r="W61" s="16"/>
      <c r="X61" s="16"/>
      <c r="Y61" s="593"/>
      <c r="Z61" s="16"/>
      <c r="AA61" s="16"/>
      <c r="AB61" s="16"/>
      <c r="AC61" s="16"/>
      <c r="BM61" s="307"/>
      <c r="BN61" s="307"/>
    </row>
    <row r="62" spans="2:66" x14ac:dyDescent="0.45">
      <c r="B62" s="381" t="s">
        <v>251</v>
      </c>
      <c r="C62" s="382" t="s">
        <v>147</v>
      </c>
      <c r="D62" s="383" t="s">
        <v>252</v>
      </c>
      <c r="E62" s="383" t="s">
        <v>253</v>
      </c>
      <c r="F62" s="381" t="s">
        <v>254</v>
      </c>
      <c r="G62" s="383" t="s">
        <v>255</v>
      </c>
      <c r="H62" s="382" t="s">
        <v>256</v>
      </c>
      <c r="I62" s="607" t="s">
        <v>257</v>
      </c>
      <c r="J62" s="91"/>
      <c r="K62" s="94" t="s">
        <v>260</v>
      </c>
      <c r="L62" s="94" t="s">
        <v>261</v>
      </c>
      <c r="M62" s="94" t="s">
        <v>256</v>
      </c>
      <c r="N62" s="94" t="str">
        <f>F62</f>
        <v xml:space="preserve">Construction Start </v>
      </c>
      <c r="O62" s="94" t="str">
        <f>G62</f>
        <v>Lock up Month</v>
      </c>
      <c r="P62" s="94" t="str">
        <f>H62</f>
        <v>CCC</v>
      </c>
      <c r="Q62" s="91"/>
      <c r="R62" s="91"/>
      <c r="S62" s="91"/>
      <c r="T62" s="16"/>
      <c r="U62" s="16"/>
      <c r="V62" s="16"/>
      <c r="W62" s="16"/>
      <c r="X62" s="16"/>
      <c r="Y62" s="593"/>
      <c r="Z62" s="16"/>
      <c r="AA62" s="16"/>
      <c r="AB62" s="16"/>
      <c r="AC62" s="16"/>
      <c r="BM62" s="307"/>
      <c r="BN62" s="307"/>
    </row>
    <row r="63" spans="2:66" x14ac:dyDescent="0.45">
      <c r="B63" s="384" t="str">
        <f>'Detailed Feasibility Inputs'!B15</f>
        <v xml:space="preserve">Lot 1 </v>
      </c>
      <c r="C63" s="416" t="str">
        <f>'Detailed Feasibility Inputs'!C15</f>
        <v>1 Bed</v>
      </c>
      <c r="D63" s="386">
        <f>IF(C63='Detailed Feasibility Inputs'!$E$16,'Detailed Feasibility Inputs'!$K$42,IF('Detailed Feasibility'!C63='Detailed Feasibility Inputs'!$E$17,'Detailed Feasibility Inputs'!$K$43,IF('Detailed Feasibility'!C63='Detailed Feasibility Inputs'!$E$18,'Detailed Feasibility Inputs'!$K$44,IF('Detailed Feasibility'!C63='Detailed Feasibility Inputs'!$E$19,'Detailed Feasibility Inputs'!$K$45,IF('Detailed Feasibility'!C63='Detailed Feasibility Inputs'!$E$20,'Detailed Feasibility Inputs'!$K$46,IF('Detailed Feasibility'!C63='Detailed Feasibility Inputs'!$E$21,'Detailed Feasibility Inputs'!$K$47,0))))))</f>
        <v>242000.00000000003</v>
      </c>
      <c r="E63" s="415">
        <f>IF(C63='Detailed Feasibility Inputs'!$B$53,'Detailed Feasibility Inputs'!$E$53,IF('Detailed Feasibility'!C63='Detailed Feasibility Inputs'!$B$54,'Detailed Feasibility Inputs'!$E$54,IF('Detailed Feasibility'!C63='Detailed Feasibility Inputs'!$B$55,'Detailed Feasibility Inputs'!$E$55,IF('Detailed Feasibility'!C63='Detailed Feasibility Inputs'!$B$56,'Detailed Feasibility Inputs'!$E$56,IF('Detailed Feasibility'!C63='Detailed Feasibility Inputs'!$B$57,'Detailed Feasibility Inputs'!$E$57,IF('Detailed Feasibility'!C63='Detailed Feasibility Inputs'!$B$58,'Detailed Feasibility Inputs'!$E$58,0))))))</f>
        <v>160000</v>
      </c>
      <c r="F63" s="387">
        <v>14</v>
      </c>
      <c r="G63" s="388">
        <v>17</v>
      </c>
      <c r="H63" s="389">
        <v>18</v>
      </c>
      <c r="I63" s="607">
        <f t="shared" ref="I63:I82" si="0">IF(H63&gt;0,H63+1,0)</f>
        <v>19</v>
      </c>
      <c r="J63" s="91"/>
      <c r="K63" s="95">
        <f t="shared" ref="K63:K82" si="1">IF(C63=$B$91,$G$91,0)+IF(C63=$B$92,$G$92,0)+IF(C63=$B$93,$G$93,0)+IF(C63=$B$94,$G$94,0)+IF(C63=$B$95,$G$95,0)+IF(C63=$B$96,$G$96,0)</f>
        <v>59399.999999999985</v>
      </c>
      <c r="L63" s="95">
        <f t="shared" ref="L63:L82" si="2">IF(C63=$B$91,$H$91,0)+IF(C63=$B$92,$H$92,0)+IF(C63=$B$93,$H$93,0)+IF(C63=$B$94,$H$94,0)+IF(C63=$B$95,$H$95,0)+IF(C63=$B$96,$H$96,0)</f>
        <v>59399.999999999985</v>
      </c>
      <c r="M63" s="95">
        <f t="shared" ref="M63:M82" si="3">IF(C63=$B$91,$I$91,0)+IF(C63=$B$92,$I$92,0)+IF(C63=$B$93,$I$93,0)+IF(C63=$B$94,$I$94,0)+IF(C63=$B$95,$I$95,0)+IF(C63=$B$96,$I$96,0)</f>
        <v>79200</v>
      </c>
      <c r="N63" s="96">
        <f t="shared" ref="N63:N82" si="4">E63*$F$61</f>
        <v>53333.333333333328</v>
      </c>
      <c r="O63" s="96">
        <f t="shared" ref="O63:O82" si="5">E63*$G$61</f>
        <v>53333.333333333328</v>
      </c>
      <c r="P63" s="96">
        <f>E63*$H$61</f>
        <v>53333.333333333328</v>
      </c>
      <c r="Q63" s="91"/>
      <c r="R63" s="91"/>
      <c r="S63" s="91"/>
      <c r="T63" s="16"/>
      <c r="U63" s="16"/>
      <c r="V63" s="16"/>
      <c r="W63" s="16"/>
      <c r="X63" s="16"/>
      <c r="Y63" s="593"/>
      <c r="Z63" s="16"/>
      <c r="AA63" s="16"/>
      <c r="AB63" s="16"/>
      <c r="AC63" s="16"/>
      <c r="BM63" s="307"/>
      <c r="BN63" s="307"/>
    </row>
    <row r="64" spans="2:66" x14ac:dyDescent="0.45">
      <c r="B64" s="390" t="str">
        <f>'Detailed Feasibility Inputs'!B16</f>
        <v xml:space="preserve">Lot 2 </v>
      </c>
      <c r="C64" s="407" t="str">
        <f>'Detailed Feasibility Inputs'!C16</f>
        <v>1 Bed</v>
      </c>
      <c r="D64" s="391">
        <f>IF(C64='Detailed Feasibility Inputs'!$E$16,'Detailed Feasibility Inputs'!$K$42,IF('Detailed Feasibility'!C64='Detailed Feasibility Inputs'!$E$17,'Detailed Feasibility Inputs'!$K$43,IF('Detailed Feasibility'!C64='Detailed Feasibility Inputs'!$E$18,'Detailed Feasibility Inputs'!$K$44,IF('Detailed Feasibility'!C64='Detailed Feasibility Inputs'!$E$19,'Detailed Feasibility Inputs'!$K$45,IF('Detailed Feasibility'!C64='Detailed Feasibility Inputs'!$E$20,'Detailed Feasibility Inputs'!$K$46,IF('Detailed Feasibility'!C64='Detailed Feasibility Inputs'!$E$21,'Detailed Feasibility Inputs'!$K$47,0))))))</f>
        <v>242000.00000000003</v>
      </c>
      <c r="E64" s="345">
        <f>IF(C64='Detailed Feasibility Inputs'!$B$53,'Detailed Feasibility Inputs'!$E$53,IF('Detailed Feasibility'!C64='Detailed Feasibility Inputs'!$B$54,'Detailed Feasibility Inputs'!$E$54,IF('Detailed Feasibility'!C64='Detailed Feasibility Inputs'!$B$55,'Detailed Feasibility Inputs'!$E$55,IF('Detailed Feasibility'!C64='Detailed Feasibility Inputs'!$B$56,'Detailed Feasibility Inputs'!$E$56,IF('Detailed Feasibility'!C64='Detailed Feasibility Inputs'!$B$57,'Detailed Feasibility Inputs'!$E$57,IF('Detailed Feasibility'!C64='Detailed Feasibility Inputs'!$B$58,'Detailed Feasibility Inputs'!$E$58,0))))))</f>
        <v>160000</v>
      </c>
      <c r="F64" s="392">
        <v>14</v>
      </c>
      <c r="G64" s="393">
        <v>17</v>
      </c>
      <c r="H64" s="377">
        <v>18</v>
      </c>
      <c r="I64" s="607">
        <f t="shared" si="0"/>
        <v>19</v>
      </c>
      <c r="J64" s="91"/>
      <c r="K64" s="95">
        <f t="shared" si="1"/>
        <v>59399.999999999985</v>
      </c>
      <c r="L64" s="95">
        <f t="shared" si="2"/>
        <v>59399.999999999985</v>
      </c>
      <c r="M64" s="95">
        <f t="shared" si="3"/>
        <v>79200</v>
      </c>
      <c r="N64" s="96">
        <f t="shared" si="4"/>
        <v>53333.333333333328</v>
      </c>
      <c r="O64" s="96">
        <f t="shared" si="5"/>
        <v>53333.333333333328</v>
      </c>
      <c r="P64" s="96">
        <f t="shared" ref="P64:P82" si="6">E64*$H$61</f>
        <v>53333.333333333328</v>
      </c>
      <c r="Q64" s="91"/>
      <c r="R64" s="91"/>
      <c r="S64" s="91"/>
      <c r="T64" s="16"/>
      <c r="U64" s="16"/>
      <c r="V64" s="16"/>
      <c r="W64" s="16"/>
      <c r="X64" s="16"/>
      <c r="Y64" s="593"/>
      <c r="Z64" s="16"/>
      <c r="AA64" s="16"/>
      <c r="AB64" s="16"/>
      <c r="AC64" s="16"/>
      <c r="BM64" s="307"/>
      <c r="BN64" s="307"/>
    </row>
    <row r="65" spans="2:66" x14ac:dyDescent="0.45">
      <c r="B65" s="390" t="str">
        <f>'Detailed Feasibility Inputs'!B17</f>
        <v>Lot 3</v>
      </c>
      <c r="C65" s="407" t="str">
        <f>'Detailed Feasibility Inputs'!C17</f>
        <v>1 Bed</v>
      </c>
      <c r="D65" s="391">
        <f>IF(C65='Detailed Feasibility Inputs'!$E$16,'Detailed Feasibility Inputs'!$K$42,IF('Detailed Feasibility'!C65='Detailed Feasibility Inputs'!$E$17,'Detailed Feasibility Inputs'!$K$43,IF('Detailed Feasibility'!C65='Detailed Feasibility Inputs'!$E$18,'Detailed Feasibility Inputs'!$K$44,IF('Detailed Feasibility'!C65='Detailed Feasibility Inputs'!$E$19,'Detailed Feasibility Inputs'!$K$45,IF('Detailed Feasibility'!C65='Detailed Feasibility Inputs'!$E$20,'Detailed Feasibility Inputs'!$K$46,IF('Detailed Feasibility'!C65='Detailed Feasibility Inputs'!$E$21,'Detailed Feasibility Inputs'!$K$47,0))))))</f>
        <v>242000.00000000003</v>
      </c>
      <c r="E65" s="345">
        <f>IF(C65='Detailed Feasibility Inputs'!$B$53,'Detailed Feasibility Inputs'!$E$53,IF('Detailed Feasibility'!C65='Detailed Feasibility Inputs'!$B$54,'Detailed Feasibility Inputs'!$E$54,IF('Detailed Feasibility'!C65='Detailed Feasibility Inputs'!$B$55,'Detailed Feasibility Inputs'!$E$55,IF('Detailed Feasibility'!C65='Detailed Feasibility Inputs'!$B$56,'Detailed Feasibility Inputs'!$E$56,IF('Detailed Feasibility'!C65='Detailed Feasibility Inputs'!$B$57,'Detailed Feasibility Inputs'!$E$57,IF('Detailed Feasibility'!C65='Detailed Feasibility Inputs'!$B$58,'Detailed Feasibility Inputs'!$E$58,0))))))</f>
        <v>160000</v>
      </c>
      <c r="F65" s="392">
        <v>14</v>
      </c>
      <c r="G65" s="393">
        <v>17</v>
      </c>
      <c r="H65" s="377">
        <v>18</v>
      </c>
      <c r="I65" s="607">
        <f t="shared" si="0"/>
        <v>19</v>
      </c>
      <c r="J65" s="91"/>
      <c r="K65" s="95">
        <f t="shared" si="1"/>
        <v>59399.999999999985</v>
      </c>
      <c r="L65" s="95">
        <f t="shared" si="2"/>
        <v>59399.999999999985</v>
      </c>
      <c r="M65" s="95">
        <f t="shared" si="3"/>
        <v>79200</v>
      </c>
      <c r="N65" s="96">
        <f t="shared" si="4"/>
        <v>53333.333333333328</v>
      </c>
      <c r="O65" s="96">
        <f t="shared" si="5"/>
        <v>53333.333333333328</v>
      </c>
      <c r="P65" s="96">
        <f t="shared" si="6"/>
        <v>53333.333333333328</v>
      </c>
      <c r="Q65" s="91"/>
      <c r="R65" s="91"/>
      <c r="S65" s="91"/>
      <c r="T65" s="16"/>
      <c r="U65" s="16"/>
      <c r="V65" s="16"/>
      <c r="W65" s="16"/>
      <c r="X65" s="16"/>
      <c r="Y65" s="593"/>
      <c r="Z65" s="16"/>
      <c r="AA65" s="16"/>
      <c r="AB65" s="16"/>
      <c r="AC65" s="16"/>
      <c r="BM65" s="307"/>
      <c r="BN65" s="307"/>
    </row>
    <row r="66" spans="2:66" x14ac:dyDescent="0.45">
      <c r="B66" s="390" t="str">
        <f>'Detailed Feasibility Inputs'!B18</f>
        <v>Lot 4</v>
      </c>
      <c r="C66" s="407" t="str">
        <f>'Detailed Feasibility Inputs'!C18</f>
        <v>1 Bed</v>
      </c>
      <c r="D66" s="391">
        <f>IF(C66='Detailed Feasibility Inputs'!$E$16,'Detailed Feasibility Inputs'!$K$42,IF('Detailed Feasibility'!C66='Detailed Feasibility Inputs'!$E$17,'Detailed Feasibility Inputs'!$K$43,IF('Detailed Feasibility'!C66='Detailed Feasibility Inputs'!$E$18,'Detailed Feasibility Inputs'!$K$44,IF('Detailed Feasibility'!C66='Detailed Feasibility Inputs'!$E$19,'Detailed Feasibility Inputs'!$K$45,IF('Detailed Feasibility'!C66='Detailed Feasibility Inputs'!$E$20,'Detailed Feasibility Inputs'!$K$46,IF('Detailed Feasibility'!C66='Detailed Feasibility Inputs'!$E$21,'Detailed Feasibility Inputs'!$K$47,0))))))</f>
        <v>242000.00000000003</v>
      </c>
      <c r="E66" s="345">
        <f>IF(C66='Detailed Feasibility Inputs'!$B$53,'Detailed Feasibility Inputs'!$E$53,IF('Detailed Feasibility'!C66='Detailed Feasibility Inputs'!$B$54,'Detailed Feasibility Inputs'!$E$54,IF('Detailed Feasibility'!C66='Detailed Feasibility Inputs'!$B$55,'Detailed Feasibility Inputs'!$E$55,IF('Detailed Feasibility'!C66='Detailed Feasibility Inputs'!$B$56,'Detailed Feasibility Inputs'!$E$56,IF('Detailed Feasibility'!C66='Detailed Feasibility Inputs'!$B$57,'Detailed Feasibility Inputs'!$E$57,IF('Detailed Feasibility'!C66='Detailed Feasibility Inputs'!$B$58,'Detailed Feasibility Inputs'!$E$58,0))))))</f>
        <v>160000</v>
      </c>
      <c r="F66" s="392">
        <v>14</v>
      </c>
      <c r="G66" s="393">
        <v>17</v>
      </c>
      <c r="H66" s="377">
        <v>18</v>
      </c>
      <c r="I66" s="607">
        <f t="shared" si="0"/>
        <v>19</v>
      </c>
      <c r="J66" s="91"/>
      <c r="K66" s="95">
        <f t="shared" si="1"/>
        <v>59399.999999999985</v>
      </c>
      <c r="L66" s="95">
        <f t="shared" si="2"/>
        <v>59399.999999999985</v>
      </c>
      <c r="M66" s="95">
        <f t="shared" si="3"/>
        <v>79200</v>
      </c>
      <c r="N66" s="96">
        <f t="shared" si="4"/>
        <v>53333.333333333328</v>
      </c>
      <c r="O66" s="96">
        <f t="shared" si="5"/>
        <v>53333.333333333328</v>
      </c>
      <c r="P66" s="96">
        <f t="shared" si="6"/>
        <v>53333.333333333328</v>
      </c>
      <c r="Q66" s="91"/>
      <c r="R66" s="91"/>
      <c r="S66" s="91"/>
      <c r="T66" s="16"/>
      <c r="U66" s="16"/>
      <c r="V66" s="16"/>
      <c r="W66" s="16"/>
      <c r="X66" s="16"/>
      <c r="Y66" s="593"/>
      <c r="Z66" s="16"/>
      <c r="AA66" s="16"/>
      <c r="AB66" s="16"/>
      <c r="AC66" s="16"/>
      <c r="BM66" s="307"/>
      <c r="BN66" s="307"/>
    </row>
    <row r="67" spans="2:66" x14ac:dyDescent="0.45">
      <c r="B67" s="390" t="str">
        <f>'Detailed Feasibility Inputs'!B19</f>
        <v xml:space="preserve">Lot 5 </v>
      </c>
      <c r="C67" s="407" t="str">
        <f>'Detailed Feasibility Inputs'!C19</f>
        <v>1 Bed</v>
      </c>
      <c r="D67" s="391">
        <f>IF(C67='Detailed Feasibility Inputs'!$E$16,'Detailed Feasibility Inputs'!$K$42,IF('Detailed Feasibility'!C67='Detailed Feasibility Inputs'!$E$17,'Detailed Feasibility Inputs'!$K$43,IF('Detailed Feasibility'!C67='Detailed Feasibility Inputs'!$E$18,'Detailed Feasibility Inputs'!$K$44,IF('Detailed Feasibility'!C67='Detailed Feasibility Inputs'!$E$19,'Detailed Feasibility Inputs'!$K$45,IF('Detailed Feasibility'!C67='Detailed Feasibility Inputs'!$E$20,'Detailed Feasibility Inputs'!$K$46,IF('Detailed Feasibility'!C67='Detailed Feasibility Inputs'!$E$21,'Detailed Feasibility Inputs'!$K$47,0))))))</f>
        <v>242000.00000000003</v>
      </c>
      <c r="E67" s="345">
        <f>IF(C67='Detailed Feasibility Inputs'!$B$53,'Detailed Feasibility Inputs'!$E$53,IF('Detailed Feasibility'!C67='Detailed Feasibility Inputs'!$B$54,'Detailed Feasibility Inputs'!$E$54,IF('Detailed Feasibility'!C67='Detailed Feasibility Inputs'!$B$55,'Detailed Feasibility Inputs'!$E$55,IF('Detailed Feasibility'!C67='Detailed Feasibility Inputs'!$B$56,'Detailed Feasibility Inputs'!$E$56,IF('Detailed Feasibility'!C67='Detailed Feasibility Inputs'!$B$57,'Detailed Feasibility Inputs'!$E$57,IF('Detailed Feasibility'!C67='Detailed Feasibility Inputs'!$B$58,'Detailed Feasibility Inputs'!$E$58,0))))))</f>
        <v>160000</v>
      </c>
      <c r="F67" s="392">
        <v>14</v>
      </c>
      <c r="G67" s="393">
        <v>17</v>
      </c>
      <c r="H67" s="377">
        <v>18</v>
      </c>
      <c r="I67" s="607">
        <f t="shared" si="0"/>
        <v>19</v>
      </c>
      <c r="J67" s="91"/>
      <c r="K67" s="95">
        <f t="shared" si="1"/>
        <v>59399.999999999985</v>
      </c>
      <c r="L67" s="95">
        <f t="shared" si="2"/>
        <v>59399.999999999985</v>
      </c>
      <c r="M67" s="95">
        <f t="shared" si="3"/>
        <v>79200</v>
      </c>
      <c r="N67" s="96">
        <f t="shared" si="4"/>
        <v>53333.333333333328</v>
      </c>
      <c r="O67" s="96">
        <f t="shared" si="5"/>
        <v>53333.333333333328</v>
      </c>
      <c r="P67" s="96">
        <f t="shared" si="6"/>
        <v>53333.333333333328</v>
      </c>
      <c r="Q67" s="91"/>
      <c r="R67" s="91"/>
      <c r="S67" s="91"/>
      <c r="T67" s="16"/>
      <c r="U67" s="16"/>
      <c r="V67" s="16"/>
      <c r="W67" s="16"/>
      <c r="X67" s="16"/>
      <c r="Y67" s="16"/>
      <c r="Z67" s="16"/>
      <c r="AA67" s="16"/>
      <c r="AB67" s="16"/>
      <c r="AC67" s="16"/>
      <c r="AK67" s="452"/>
      <c r="AL67" s="69"/>
      <c r="AN67" s="70"/>
      <c r="AO67" s="453"/>
      <c r="BM67" s="307"/>
      <c r="BN67" s="307"/>
    </row>
    <row r="68" spans="2:66" x14ac:dyDescent="0.45">
      <c r="B68" s="390" t="str">
        <f>'Detailed Feasibility Inputs'!B20</f>
        <v xml:space="preserve">Lot 6 </v>
      </c>
      <c r="C68" s="407" t="str">
        <f>'Detailed Feasibility Inputs'!C20</f>
        <v>1 Bed</v>
      </c>
      <c r="D68" s="391">
        <f>IF(C68='Detailed Feasibility Inputs'!$E$16,'Detailed Feasibility Inputs'!$K$42,IF('Detailed Feasibility'!C68='Detailed Feasibility Inputs'!$E$17,'Detailed Feasibility Inputs'!$K$43,IF('Detailed Feasibility'!C68='Detailed Feasibility Inputs'!$E$18,'Detailed Feasibility Inputs'!$K$44,IF('Detailed Feasibility'!C68='Detailed Feasibility Inputs'!$E$19,'Detailed Feasibility Inputs'!$K$45,IF('Detailed Feasibility'!C68='Detailed Feasibility Inputs'!$E$20,'Detailed Feasibility Inputs'!$K$46,IF('Detailed Feasibility'!C68='Detailed Feasibility Inputs'!$E$21,'Detailed Feasibility Inputs'!$K$47,0))))))</f>
        <v>242000.00000000003</v>
      </c>
      <c r="E68" s="345">
        <f>IF(C68='Detailed Feasibility Inputs'!$B$53,'Detailed Feasibility Inputs'!$E$53,IF('Detailed Feasibility'!C68='Detailed Feasibility Inputs'!$B$54,'Detailed Feasibility Inputs'!$E$54,IF('Detailed Feasibility'!C68='Detailed Feasibility Inputs'!$B$55,'Detailed Feasibility Inputs'!$E$55,IF('Detailed Feasibility'!C68='Detailed Feasibility Inputs'!$B$56,'Detailed Feasibility Inputs'!$E$56,IF('Detailed Feasibility'!C68='Detailed Feasibility Inputs'!$B$57,'Detailed Feasibility Inputs'!$E$57,IF('Detailed Feasibility'!C68='Detailed Feasibility Inputs'!$B$58,'Detailed Feasibility Inputs'!$E$58,0))))))</f>
        <v>160000</v>
      </c>
      <c r="F68" s="392">
        <v>14</v>
      </c>
      <c r="G68" s="393">
        <v>17</v>
      </c>
      <c r="H68" s="377">
        <v>18</v>
      </c>
      <c r="I68" s="607">
        <f t="shared" si="0"/>
        <v>19</v>
      </c>
      <c r="J68" s="91"/>
      <c r="K68" s="95">
        <f t="shared" si="1"/>
        <v>59399.999999999985</v>
      </c>
      <c r="L68" s="95">
        <f t="shared" si="2"/>
        <v>59399.999999999985</v>
      </c>
      <c r="M68" s="95">
        <f t="shared" si="3"/>
        <v>79200</v>
      </c>
      <c r="N68" s="96">
        <f t="shared" si="4"/>
        <v>53333.333333333328</v>
      </c>
      <c r="O68" s="96">
        <f t="shared" si="5"/>
        <v>53333.333333333328</v>
      </c>
      <c r="P68" s="96">
        <f t="shared" si="6"/>
        <v>53333.333333333328</v>
      </c>
      <c r="Q68" s="91"/>
      <c r="R68" s="91"/>
      <c r="S68" s="91"/>
      <c r="T68" s="16"/>
      <c r="U68" s="16"/>
      <c r="V68" s="16"/>
      <c r="W68" s="16"/>
      <c r="X68" s="16"/>
      <c r="Y68" s="16"/>
      <c r="Z68" s="16"/>
      <c r="AA68" s="16"/>
      <c r="AB68" s="16"/>
      <c r="AC68" s="16"/>
      <c r="AK68" s="452"/>
      <c r="AL68" s="69"/>
      <c r="AN68" s="70"/>
      <c r="AO68" s="453"/>
      <c r="BM68" s="307"/>
      <c r="BN68" s="307"/>
    </row>
    <row r="69" spans="2:66" x14ac:dyDescent="0.45">
      <c r="B69" s="390" t="str">
        <f>'Detailed Feasibility Inputs'!B21</f>
        <v xml:space="preserve">Lot 7 </v>
      </c>
      <c r="C69" s="407" t="str">
        <f>'Detailed Feasibility Inputs'!C21</f>
        <v>1 Bed</v>
      </c>
      <c r="D69" s="391">
        <f>IF(C69='Detailed Feasibility Inputs'!$E$16,'Detailed Feasibility Inputs'!$K$42,IF('Detailed Feasibility'!C69='Detailed Feasibility Inputs'!$E$17,'Detailed Feasibility Inputs'!$K$43,IF('Detailed Feasibility'!C69='Detailed Feasibility Inputs'!$E$18,'Detailed Feasibility Inputs'!$K$44,IF('Detailed Feasibility'!C69='Detailed Feasibility Inputs'!$E$19,'Detailed Feasibility Inputs'!$K$45,IF('Detailed Feasibility'!C69='Detailed Feasibility Inputs'!$E$20,'Detailed Feasibility Inputs'!$K$46,IF('Detailed Feasibility'!C69='Detailed Feasibility Inputs'!$E$21,'Detailed Feasibility Inputs'!$K$47,0))))))</f>
        <v>242000.00000000003</v>
      </c>
      <c r="E69" s="345">
        <f>IF(C69='Detailed Feasibility Inputs'!$B$53,'Detailed Feasibility Inputs'!$E$53,IF('Detailed Feasibility'!C69='Detailed Feasibility Inputs'!$B$54,'Detailed Feasibility Inputs'!$E$54,IF('Detailed Feasibility'!C69='Detailed Feasibility Inputs'!$B$55,'Detailed Feasibility Inputs'!$E$55,IF('Detailed Feasibility'!C69='Detailed Feasibility Inputs'!$B$56,'Detailed Feasibility Inputs'!$E$56,IF('Detailed Feasibility'!C69='Detailed Feasibility Inputs'!$B$57,'Detailed Feasibility Inputs'!$E$57,IF('Detailed Feasibility'!C69='Detailed Feasibility Inputs'!$B$58,'Detailed Feasibility Inputs'!$E$58,0))))))</f>
        <v>160000</v>
      </c>
      <c r="F69" s="392">
        <v>14</v>
      </c>
      <c r="G69" s="393">
        <v>17</v>
      </c>
      <c r="H69" s="377">
        <v>18</v>
      </c>
      <c r="I69" s="607">
        <f t="shared" si="0"/>
        <v>19</v>
      </c>
      <c r="J69" s="91"/>
      <c r="K69" s="95">
        <f t="shared" si="1"/>
        <v>59399.999999999985</v>
      </c>
      <c r="L69" s="95">
        <f t="shared" si="2"/>
        <v>59399.999999999985</v>
      </c>
      <c r="M69" s="95">
        <f t="shared" si="3"/>
        <v>79200</v>
      </c>
      <c r="N69" s="96">
        <f t="shared" si="4"/>
        <v>53333.333333333328</v>
      </c>
      <c r="O69" s="96">
        <f t="shared" si="5"/>
        <v>53333.333333333328</v>
      </c>
      <c r="P69" s="96">
        <f t="shared" si="6"/>
        <v>53333.333333333328</v>
      </c>
      <c r="Q69" s="91"/>
      <c r="R69" s="91"/>
      <c r="S69" s="91"/>
      <c r="T69" s="16"/>
      <c r="U69" s="16"/>
      <c r="V69" s="16"/>
      <c r="W69" s="16"/>
      <c r="X69" s="16"/>
      <c r="Y69" s="16"/>
      <c r="Z69" s="16"/>
      <c r="AA69" s="16"/>
      <c r="AB69" s="16"/>
      <c r="AC69" s="16"/>
      <c r="AK69" s="452"/>
      <c r="AL69" s="69"/>
      <c r="AN69" s="70"/>
      <c r="AO69" s="453"/>
      <c r="BM69" s="307"/>
      <c r="BN69" s="307"/>
    </row>
    <row r="70" spans="2:66" x14ac:dyDescent="0.45">
      <c r="B70" s="390" t="str">
        <f>'Detailed Feasibility Inputs'!B22</f>
        <v xml:space="preserve">Lot 8 </v>
      </c>
      <c r="C70" s="407" t="str">
        <f>'Detailed Feasibility Inputs'!C22</f>
        <v>2 Bed</v>
      </c>
      <c r="D70" s="391">
        <f>IF(C70='Detailed Feasibility Inputs'!$E$16,'Detailed Feasibility Inputs'!$K$42,IF('Detailed Feasibility'!C70='Detailed Feasibility Inputs'!$E$17,'Detailed Feasibility Inputs'!$K$43,IF('Detailed Feasibility'!C70='Detailed Feasibility Inputs'!$E$18,'Detailed Feasibility Inputs'!$K$44,IF('Detailed Feasibility'!C70='Detailed Feasibility Inputs'!$E$19,'Detailed Feasibility Inputs'!$K$45,IF('Detailed Feasibility'!C70='Detailed Feasibility Inputs'!$E$20,'Detailed Feasibility Inputs'!$K$46,IF('Detailed Feasibility'!C70='Detailed Feasibility Inputs'!$E$21,'Detailed Feasibility Inputs'!$K$47,0))))))</f>
        <v>288750</v>
      </c>
      <c r="E70" s="345">
        <f>IF(C70='Detailed Feasibility Inputs'!$B$53,'Detailed Feasibility Inputs'!$E$53,IF('Detailed Feasibility'!C70='Detailed Feasibility Inputs'!$B$54,'Detailed Feasibility Inputs'!$E$54,IF('Detailed Feasibility'!C70='Detailed Feasibility Inputs'!$B$55,'Detailed Feasibility Inputs'!$E$55,IF('Detailed Feasibility'!C70='Detailed Feasibility Inputs'!$B$56,'Detailed Feasibility Inputs'!$E$56,IF('Detailed Feasibility'!C70='Detailed Feasibility Inputs'!$B$57,'Detailed Feasibility Inputs'!$E$57,IF('Detailed Feasibility'!C70='Detailed Feasibility Inputs'!$B$58,'Detailed Feasibility Inputs'!$E$58,0))))))</f>
        <v>227500</v>
      </c>
      <c r="F70" s="392">
        <v>21</v>
      </c>
      <c r="G70" s="393">
        <v>24</v>
      </c>
      <c r="H70" s="377">
        <v>25</v>
      </c>
      <c r="I70" s="607">
        <f t="shared" si="0"/>
        <v>26</v>
      </c>
      <c r="J70" s="91"/>
      <c r="K70" s="95">
        <f t="shared" si="1"/>
        <v>70874.999999999985</v>
      </c>
      <c r="L70" s="95">
        <f t="shared" si="2"/>
        <v>70874.999999999985</v>
      </c>
      <c r="M70" s="95">
        <f t="shared" si="3"/>
        <v>94500</v>
      </c>
      <c r="N70" s="96">
        <f t="shared" si="4"/>
        <v>75833.333333333328</v>
      </c>
      <c r="O70" s="96">
        <f t="shared" si="5"/>
        <v>75833.333333333328</v>
      </c>
      <c r="P70" s="96">
        <f t="shared" si="6"/>
        <v>75833.333333333328</v>
      </c>
      <c r="Q70" s="91"/>
      <c r="R70" s="91"/>
      <c r="S70" s="91"/>
      <c r="T70" s="16"/>
      <c r="U70" s="16"/>
      <c r="V70" s="16"/>
      <c r="W70" s="16"/>
      <c r="X70" s="16"/>
      <c r="Y70" s="16"/>
      <c r="Z70" s="16"/>
      <c r="AA70" s="16"/>
      <c r="AB70" s="16"/>
      <c r="AC70" s="16"/>
      <c r="AK70" s="452"/>
      <c r="AL70" s="69"/>
      <c r="AN70" s="70"/>
      <c r="AO70" s="453"/>
      <c r="BM70" s="307"/>
      <c r="BN70" s="307"/>
    </row>
    <row r="71" spans="2:66" x14ac:dyDescent="0.45">
      <c r="B71" s="390" t="str">
        <f>'Detailed Feasibility Inputs'!B23</f>
        <v xml:space="preserve">Lot 9 </v>
      </c>
      <c r="C71" s="407" t="str">
        <f>'Detailed Feasibility Inputs'!C23</f>
        <v>2 Bed</v>
      </c>
      <c r="D71" s="391">
        <f>IF(C71='Detailed Feasibility Inputs'!$E$16,'Detailed Feasibility Inputs'!$K$42,IF('Detailed Feasibility'!C71='Detailed Feasibility Inputs'!$E$17,'Detailed Feasibility Inputs'!$K$43,IF('Detailed Feasibility'!C71='Detailed Feasibility Inputs'!$E$18,'Detailed Feasibility Inputs'!$K$44,IF('Detailed Feasibility'!C71='Detailed Feasibility Inputs'!$E$19,'Detailed Feasibility Inputs'!$K$45,IF('Detailed Feasibility'!C71='Detailed Feasibility Inputs'!$E$20,'Detailed Feasibility Inputs'!$K$46,IF('Detailed Feasibility'!C71='Detailed Feasibility Inputs'!$E$21,'Detailed Feasibility Inputs'!$K$47,0))))))</f>
        <v>288750</v>
      </c>
      <c r="E71" s="345">
        <f>IF(C71='Detailed Feasibility Inputs'!$B$53,'Detailed Feasibility Inputs'!$E$53,IF('Detailed Feasibility'!C71='Detailed Feasibility Inputs'!$B$54,'Detailed Feasibility Inputs'!$E$54,IF('Detailed Feasibility'!C71='Detailed Feasibility Inputs'!$B$55,'Detailed Feasibility Inputs'!$E$55,IF('Detailed Feasibility'!C71='Detailed Feasibility Inputs'!$B$56,'Detailed Feasibility Inputs'!$E$56,IF('Detailed Feasibility'!C71='Detailed Feasibility Inputs'!$B$57,'Detailed Feasibility Inputs'!$E$57,IF('Detailed Feasibility'!C71='Detailed Feasibility Inputs'!$B$58,'Detailed Feasibility Inputs'!$E$58,0))))))</f>
        <v>227500</v>
      </c>
      <c r="F71" s="392">
        <v>21</v>
      </c>
      <c r="G71" s="393">
        <v>24</v>
      </c>
      <c r="H71" s="377">
        <v>25</v>
      </c>
      <c r="I71" s="607">
        <f t="shared" si="0"/>
        <v>26</v>
      </c>
      <c r="J71" s="91"/>
      <c r="K71" s="95">
        <f t="shared" si="1"/>
        <v>70874.999999999985</v>
      </c>
      <c r="L71" s="95">
        <f t="shared" si="2"/>
        <v>70874.999999999985</v>
      </c>
      <c r="M71" s="95">
        <f t="shared" si="3"/>
        <v>94500</v>
      </c>
      <c r="N71" s="96">
        <f t="shared" si="4"/>
        <v>75833.333333333328</v>
      </c>
      <c r="O71" s="96">
        <f t="shared" si="5"/>
        <v>75833.333333333328</v>
      </c>
      <c r="P71" s="96">
        <f t="shared" si="6"/>
        <v>75833.333333333328</v>
      </c>
      <c r="Q71" s="91"/>
      <c r="R71" s="91"/>
      <c r="S71" s="91"/>
      <c r="T71" s="16"/>
      <c r="U71" s="16"/>
      <c r="V71" s="16"/>
      <c r="W71" s="16"/>
      <c r="X71" s="16"/>
      <c r="Y71" s="16"/>
      <c r="Z71" s="16"/>
      <c r="AA71" s="16"/>
      <c r="AB71" s="16"/>
      <c r="AC71" s="16"/>
      <c r="AK71" s="452"/>
      <c r="AL71" s="69"/>
      <c r="AN71" s="70"/>
      <c r="AO71" s="453"/>
      <c r="BM71" s="307"/>
      <c r="BN71" s="307"/>
    </row>
    <row r="72" spans="2:66" x14ac:dyDescent="0.45">
      <c r="B72" s="390" t="str">
        <f>'Detailed Feasibility Inputs'!B24</f>
        <v xml:space="preserve">Lot 10 </v>
      </c>
      <c r="C72" s="407" t="str">
        <f>'Detailed Feasibility Inputs'!C24</f>
        <v>2 Bed</v>
      </c>
      <c r="D72" s="391">
        <f>IF(C72='Detailed Feasibility Inputs'!$E$16,'Detailed Feasibility Inputs'!$K$42,IF('Detailed Feasibility'!C72='Detailed Feasibility Inputs'!$E$17,'Detailed Feasibility Inputs'!$K$43,IF('Detailed Feasibility'!C72='Detailed Feasibility Inputs'!$E$18,'Detailed Feasibility Inputs'!$K$44,IF('Detailed Feasibility'!C72='Detailed Feasibility Inputs'!$E$19,'Detailed Feasibility Inputs'!$K$45,IF('Detailed Feasibility'!C72='Detailed Feasibility Inputs'!$E$20,'Detailed Feasibility Inputs'!$K$46,IF('Detailed Feasibility'!C72='Detailed Feasibility Inputs'!$E$21,'Detailed Feasibility Inputs'!$K$47,0))))))</f>
        <v>288750</v>
      </c>
      <c r="E72" s="345">
        <f>IF(C72='Detailed Feasibility Inputs'!$B$53,'Detailed Feasibility Inputs'!$E$53,IF('Detailed Feasibility'!C72='Detailed Feasibility Inputs'!$B$54,'Detailed Feasibility Inputs'!$E$54,IF('Detailed Feasibility'!C72='Detailed Feasibility Inputs'!$B$55,'Detailed Feasibility Inputs'!$E$55,IF('Detailed Feasibility'!C72='Detailed Feasibility Inputs'!$B$56,'Detailed Feasibility Inputs'!$E$56,IF('Detailed Feasibility'!C72='Detailed Feasibility Inputs'!$B$57,'Detailed Feasibility Inputs'!$E$57,IF('Detailed Feasibility'!C72='Detailed Feasibility Inputs'!$B$58,'Detailed Feasibility Inputs'!$E$58,0))))))</f>
        <v>227500</v>
      </c>
      <c r="F72" s="392">
        <v>21</v>
      </c>
      <c r="G72" s="393">
        <v>24</v>
      </c>
      <c r="H72" s="377">
        <v>25</v>
      </c>
      <c r="I72" s="607">
        <f t="shared" si="0"/>
        <v>26</v>
      </c>
      <c r="J72" s="91"/>
      <c r="K72" s="95">
        <f t="shared" si="1"/>
        <v>70874.999999999985</v>
      </c>
      <c r="L72" s="95">
        <f t="shared" si="2"/>
        <v>70874.999999999985</v>
      </c>
      <c r="M72" s="95">
        <f t="shared" si="3"/>
        <v>94500</v>
      </c>
      <c r="N72" s="96">
        <f t="shared" si="4"/>
        <v>75833.333333333328</v>
      </c>
      <c r="O72" s="96">
        <f t="shared" si="5"/>
        <v>75833.333333333328</v>
      </c>
      <c r="P72" s="96">
        <f t="shared" si="6"/>
        <v>75833.333333333328</v>
      </c>
      <c r="Q72" s="91"/>
      <c r="R72" s="91"/>
      <c r="S72" s="91"/>
      <c r="T72" s="16"/>
      <c r="U72" s="16"/>
      <c r="V72" s="16"/>
      <c r="W72" s="16"/>
      <c r="X72" s="16"/>
      <c r="Y72" s="16"/>
      <c r="Z72" s="16"/>
      <c r="AA72" s="16"/>
      <c r="AB72" s="16"/>
      <c r="AC72" s="16"/>
      <c r="AK72" s="452"/>
      <c r="AL72" s="69"/>
      <c r="AN72" s="70"/>
      <c r="AO72" s="453"/>
      <c r="BM72" s="307"/>
      <c r="BN72" s="307"/>
    </row>
    <row r="73" spans="2:66" x14ac:dyDescent="0.45">
      <c r="B73" s="390" t="str">
        <f>'Detailed Feasibility Inputs'!B25</f>
        <v>Lot 11</v>
      </c>
      <c r="C73" s="407" t="str">
        <f>'Detailed Feasibility Inputs'!C25</f>
        <v>2 Bed</v>
      </c>
      <c r="D73" s="391">
        <f>IF(C73='Detailed Feasibility Inputs'!$E$16,'Detailed Feasibility Inputs'!$K$42,IF('Detailed Feasibility'!C73='Detailed Feasibility Inputs'!$E$17,'Detailed Feasibility Inputs'!$K$43,IF('Detailed Feasibility'!C73='Detailed Feasibility Inputs'!$E$18,'Detailed Feasibility Inputs'!$K$44,IF('Detailed Feasibility'!C73='Detailed Feasibility Inputs'!$E$19,'Detailed Feasibility Inputs'!$K$45,IF('Detailed Feasibility'!C73='Detailed Feasibility Inputs'!$E$20,'Detailed Feasibility Inputs'!$K$46,IF('Detailed Feasibility'!C73='Detailed Feasibility Inputs'!$E$21,'Detailed Feasibility Inputs'!$K$47,0))))))</f>
        <v>288750</v>
      </c>
      <c r="E73" s="345">
        <f>IF(C73='Detailed Feasibility Inputs'!$B$53,'Detailed Feasibility Inputs'!$E$53,IF('Detailed Feasibility'!C73='Detailed Feasibility Inputs'!$B$54,'Detailed Feasibility Inputs'!$E$54,IF('Detailed Feasibility'!C73='Detailed Feasibility Inputs'!$B$55,'Detailed Feasibility Inputs'!$E$55,IF('Detailed Feasibility'!C73='Detailed Feasibility Inputs'!$B$56,'Detailed Feasibility Inputs'!$E$56,IF('Detailed Feasibility'!C73='Detailed Feasibility Inputs'!$B$57,'Detailed Feasibility Inputs'!$E$57,IF('Detailed Feasibility'!C73='Detailed Feasibility Inputs'!$B$58,'Detailed Feasibility Inputs'!$E$58,0))))))</f>
        <v>227500</v>
      </c>
      <c r="F73" s="392">
        <v>21</v>
      </c>
      <c r="G73" s="393">
        <v>24</v>
      </c>
      <c r="H73" s="377">
        <v>25</v>
      </c>
      <c r="I73" s="607">
        <f t="shared" si="0"/>
        <v>26</v>
      </c>
      <c r="J73" s="91"/>
      <c r="K73" s="95">
        <f t="shared" si="1"/>
        <v>70874.999999999985</v>
      </c>
      <c r="L73" s="95">
        <f t="shared" si="2"/>
        <v>70874.999999999985</v>
      </c>
      <c r="M73" s="95">
        <f t="shared" si="3"/>
        <v>94500</v>
      </c>
      <c r="N73" s="96">
        <f t="shared" si="4"/>
        <v>75833.333333333328</v>
      </c>
      <c r="O73" s="96">
        <f t="shared" si="5"/>
        <v>75833.333333333328</v>
      </c>
      <c r="P73" s="96">
        <f t="shared" si="6"/>
        <v>75833.333333333328</v>
      </c>
      <c r="Q73" s="91"/>
      <c r="R73" s="91"/>
      <c r="S73" s="91"/>
      <c r="T73" s="16"/>
      <c r="U73" s="16"/>
      <c r="V73" s="16"/>
      <c r="W73" s="16"/>
      <c r="X73" s="16"/>
      <c r="Y73" s="16"/>
      <c r="Z73" s="16"/>
      <c r="AA73" s="16"/>
      <c r="AB73" s="16"/>
      <c r="AC73" s="16"/>
      <c r="AK73" s="452"/>
      <c r="AL73" s="69"/>
      <c r="AN73" s="70"/>
      <c r="AO73" s="453"/>
      <c r="BM73" s="307"/>
      <c r="BN73" s="307"/>
    </row>
    <row r="74" spans="2:66" x14ac:dyDescent="0.45">
      <c r="B74" s="390" t="str">
        <f>'Detailed Feasibility Inputs'!B26</f>
        <v>Lot 12</v>
      </c>
      <c r="C74" s="407" t="str">
        <f>'Detailed Feasibility Inputs'!C26</f>
        <v>3 Bed</v>
      </c>
      <c r="D74" s="391">
        <f>IF(C74='Detailed Feasibility Inputs'!$E$16,'Detailed Feasibility Inputs'!$K$42,IF('Detailed Feasibility'!C74='Detailed Feasibility Inputs'!$E$17,'Detailed Feasibility Inputs'!$K$43,IF('Detailed Feasibility'!C74='Detailed Feasibility Inputs'!$E$18,'Detailed Feasibility Inputs'!$K$44,IF('Detailed Feasibility'!C74='Detailed Feasibility Inputs'!$E$19,'Detailed Feasibility Inputs'!$K$45,IF('Detailed Feasibility'!C74='Detailed Feasibility Inputs'!$E$20,'Detailed Feasibility Inputs'!$K$46,IF('Detailed Feasibility'!C74='Detailed Feasibility Inputs'!$E$21,'Detailed Feasibility Inputs'!$K$47,0))))))</f>
        <v>308000</v>
      </c>
      <c r="E74" s="345">
        <f>IF(C74='Detailed Feasibility Inputs'!$B$53,'Detailed Feasibility Inputs'!$E$53,IF('Detailed Feasibility'!C74='Detailed Feasibility Inputs'!$B$54,'Detailed Feasibility Inputs'!$E$54,IF('Detailed Feasibility'!C74='Detailed Feasibility Inputs'!$B$55,'Detailed Feasibility Inputs'!$E$55,IF('Detailed Feasibility'!C74='Detailed Feasibility Inputs'!$B$56,'Detailed Feasibility Inputs'!$E$56,IF('Detailed Feasibility'!C74='Detailed Feasibility Inputs'!$B$57,'Detailed Feasibility Inputs'!$E$57,IF('Detailed Feasibility'!C74='Detailed Feasibility Inputs'!$B$58,'Detailed Feasibility Inputs'!$E$58,0))))))</f>
        <v>270000</v>
      </c>
      <c r="F74" s="392">
        <v>21</v>
      </c>
      <c r="G74" s="393">
        <v>24</v>
      </c>
      <c r="H74" s="377">
        <v>25</v>
      </c>
      <c r="I74" s="607">
        <f t="shared" si="0"/>
        <v>26</v>
      </c>
      <c r="J74" s="91"/>
      <c r="K74" s="95">
        <f t="shared" si="1"/>
        <v>75599.999999999985</v>
      </c>
      <c r="L74" s="95">
        <f t="shared" si="2"/>
        <v>75599.999999999985</v>
      </c>
      <c r="M74" s="95">
        <f t="shared" si="3"/>
        <v>100800</v>
      </c>
      <c r="N74" s="96">
        <f t="shared" si="4"/>
        <v>90000</v>
      </c>
      <c r="O74" s="96">
        <f t="shared" si="5"/>
        <v>90000</v>
      </c>
      <c r="P74" s="96">
        <f t="shared" si="6"/>
        <v>90000</v>
      </c>
      <c r="Q74" s="91"/>
      <c r="R74" s="91"/>
      <c r="S74" s="91"/>
      <c r="T74" s="16"/>
      <c r="U74" s="16"/>
      <c r="V74" s="16"/>
      <c r="W74" s="16"/>
      <c r="X74" s="16"/>
      <c r="Y74" s="16"/>
      <c r="Z74" s="16"/>
      <c r="AA74" s="16"/>
      <c r="AB74" s="16"/>
      <c r="AC74" s="16"/>
      <c r="AK74" s="452"/>
      <c r="AL74" s="69"/>
      <c r="AN74" s="70"/>
      <c r="AO74" s="453"/>
      <c r="BM74" s="307"/>
      <c r="BN74" s="307"/>
    </row>
    <row r="75" spans="2:66" x14ac:dyDescent="0.45">
      <c r="B75" s="390" t="str">
        <f>'Detailed Feasibility Inputs'!B27</f>
        <v>Lot 13</v>
      </c>
      <c r="C75" s="407" t="str">
        <f>'Detailed Feasibility Inputs'!C27</f>
        <v>3 Bed</v>
      </c>
      <c r="D75" s="391">
        <f>IF(C75='Detailed Feasibility Inputs'!$E$16,'Detailed Feasibility Inputs'!$K$42,IF('Detailed Feasibility'!C75='Detailed Feasibility Inputs'!$E$17,'Detailed Feasibility Inputs'!$K$43,IF('Detailed Feasibility'!C75='Detailed Feasibility Inputs'!$E$18,'Detailed Feasibility Inputs'!$K$44,IF('Detailed Feasibility'!C75='Detailed Feasibility Inputs'!$E$19,'Detailed Feasibility Inputs'!$K$45,IF('Detailed Feasibility'!C75='Detailed Feasibility Inputs'!$E$20,'Detailed Feasibility Inputs'!$K$46,IF('Detailed Feasibility'!C75='Detailed Feasibility Inputs'!$E$21,'Detailed Feasibility Inputs'!$K$47,0))))))</f>
        <v>308000</v>
      </c>
      <c r="E75" s="345">
        <f>IF(C75='Detailed Feasibility Inputs'!$B$53,'Detailed Feasibility Inputs'!$E$53,IF('Detailed Feasibility'!C75='Detailed Feasibility Inputs'!$B$54,'Detailed Feasibility Inputs'!$E$54,IF('Detailed Feasibility'!C75='Detailed Feasibility Inputs'!$B$55,'Detailed Feasibility Inputs'!$E$55,IF('Detailed Feasibility'!C75='Detailed Feasibility Inputs'!$B$56,'Detailed Feasibility Inputs'!$E$56,IF('Detailed Feasibility'!C75='Detailed Feasibility Inputs'!$B$57,'Detailed Feasibility Inputs'!$E$57,IF('Detailed Feasibility'!C75='Detailed Feasibility Inputs'!$B$58,'Detailed Feasibility Inputs'!$E$58,0))))))</f>
        <v>270000</v>
      </c>
      <c r="F75" s="392">
        <v>21</v>
      </c>
      <c r="G75" s="393">
        <v>24</v>
      </c>
      <c r="H75" s="377">
        <v>25</v>
      </c>
      <c r="I75" s="607">
        <f t="shared" si="0"/>
        <v>26</v>
      </c>
      <c r="J75" s="91"/>
      <c r="K75" s="95">
        <f t="shared" si="1"/>
        <v>75599.999999999985</v>
      </c>
      <c r="L75" s="95">
        <f t="shared" si="2"/>
        <v>75599.999999999985</v>
      </c>
      <c r="M75" s="95">
        <f t="shared" si="3"/>
        <v>100800</v>
      </c>
      <c r="N75" s="96">
        <f t="shared" si="4"/>
        <v>90000</v>
      </c>
      <c r="O75" s="96">
        <f t="shared" si="5"/>
        <v>90000</v>
      </c>
      <c r="P75" s="96">
        <f t="shared" si="6"/>
        <v>90000</v>
      </c>
      <c r="Q75" s="91"/>
      <c r="R75" s="665"/>
      <c r="S75" s="91"/>
      <c r="T75" s="16"/>
      <c r="U75" s="16"/>
      <c r="V75" s="16"/>
      <c r="W75" s="16"/>
      <c r="X75" s="16"/>
      <c r="Y75" s="16"/>
      <c r="Z75" s="16"/>
      <c r="AA75" s="16"/>
      <c r="AB75" s="16"/>
      <c r="AC75" s="16"/>
      <c r="BM75" s="307"/>
      <c r="BN75" s="307"/>
    </row>
    <row r="76" spans="2:66" x14ac:dyDescent="0.45">
      <c r="B76" s="390" t="str">
        <f>'Detailed Feasibility Inputs'!B28</f>
        <v>Lot 14</v>
      </c>
      <c r="C76" s="407" t="str">
        <f>'Detailed Feasibility Inputs'!C28</f>
        <v>4 Bed</v>
      </c>
      <c r="D76" s="391">
        <f>IF(C76='Detailed Feasibility Inputs'!$E$16,'Detailed Feasibility Inputs'!$K$42,IF('Detailed Feasibility'!C76='Detailed Feasibility Inputs'!$E$17,'Detailed Feasibility Inputs'!$K$43,IF('Detailed Feasibility'!C76='Detailed Feasibility Inputs'!$E$18,'Detailed Feasibility Inputs'!$K$44,IF('Detailed Feasibility'!C76='Detailed Feasibility Inputs'!$E$19,'Detailed Feasibility Inputs'!$K$45,IF('Detailed Feasibility'!C76='Detailed Feasibility Inputs'!$E$20,'Detailed Feasibility Inputs'!$K$46,IF('Detailed Feasibility'!C76='Detailed Feasibility Inputs'!$E$21,'Detailed Feasibility Inputs'!$K$47,0))))))</f>
        <v>341000</v>
      </c>
      <c r="E76" s="345">
        <f>IF(C76='Detailed Feasibility Inputs'!$B$53,'Detailed Feasibility Inputs'!$E$53,IF('Detailed Feasibility'!C76='Detailed Feasibility Inputs'!$B$54,'Detailed Feasibility Inputs'!$E$54,IF('Detailed Feasibility'!C76='Detailed Feasibility Inputs'!$B$55,'Detailed Feasibility Inputs'!$E$55,IF('Detailed Feasibility'!C76='Detailed Feasibility Inputs'!$B$56,'Detailed Feasibility Inputs'!$E$56,IF('Detailed Feasibility'!C76='Detailed Feasibility Inputs'!$B$57,'Detailed Feasibility Inputs'!$E$57,IF('Detailed Feasibility'!C76='Detailed Feasibility Inputs'!$B$58,'Detailed Feasibility Inputs'!$E$58,0))))))</f>
        <v>360000</v>
      </c>
      <c r="F76" s="392">
        <v>24</v>
      </c>
      <c r="G76" s="393">
        <v>27</v>
      </c>
      <c r="H76" s="377">
        <v>28</v>
      </c>
      <c r="I76" s="607">
        <f t="shared" si="0"/>
        <v>29</v>
      </c>
      <c r="J76" s="91"/>
      <c r="K76" s="95">
        <f t="shared" si="1"/>
        <v>83700</v>
      </c>
      <c r="L76" s="95">
        <f t="shared" si="2"/>
        <v>83700</v>
      </c>
      <c r="M76" s="95">
        <f t="shared" si="3"/>
        <v>111600</v>
      </c>
      <c r="N76" s="96">
        <f t="shared" si="4"/>
        <v>120000</v>
      </c>
      <c r="O76" s="96">
        <f t="shared" si="5"/>
        <v>120000</v>
      </c>
      <c r="P76" s="96">
        <f t="shared" si="6"/>
        <v>120000</v>
      </c>
      <c r="Q76" s="454"/>
      <c r="R76" s="91"/>
      <c r="S76" s="91"/>
      <c r="T76" s="16"/>
      <c r="U76" s="16"/>
      <c r="V76" s="16"/>
      <c r="W76" s="16"/>
      <c r="X76" s="16"/>
      <c r="Y76" s="16"/>
      <c r="Z76" s="16"/>
      <c r="AA76" s="16"/>
      <c r="AB76" s="16"/>
      <c r="AC76" s="16"/>
      <c r="BM76" s="307"/>
      <c r="BN76" s="307"/>
    </row>
    <row r="77" spans="2:66" x14ac:dyDescent="0.45">
      <c r="B77" s="390" t="str">
        <f>'Detailed Feasibility Inputs'!B29</f>
        <v>Lot 15</v>
      </c>
      <c r="C77" s="407" t="str">
        <f>'Detailed Feasibility Inputs'!C29</f>
        <v>4 Bed</v>
      </c>
      <c r="D77" s="391">
        <f>IF(C77='Detailed Feasibility Inputs'!$E$16,'Detailed Feasibility Inputs'!$K$42,IF('Detailed Feasibility'!C77='Detailed Feasibility Inputs'!$E$17,'Detailed Feasibility Inputs'!$K$43,IF('Detailed Feasibility'!C77='Detailed Feasibility Inputs'!$E$18,'Detailed Feasibility Inputs'!$K$44,IF('Detailed Feasibility'!C77='Detailed Feasibility Inputs'!$E$19,'Detailed Feasibility Inputs'!$K$45,IF('Detailed Feasibility'!C77='Detailed Feasibility Inputs'!$E$20,'Detailed Feasibility Inputs'!$K$46,IF('Detailed Feasibility'!C77='Detailed Feasibility Inputs'!$E$21,'Detailed Feasibility Inputs'!$K$47,0))))))</f>
        <v>341000</v>
      </c>
      <c r="E77" s="345">
        <f>IF(C77='Detailed Feasibility Inputs'!$B$53,'Detailed Feasibility Inputs'!$E$53,IF('Detailed Feasibility'!C77='Detailed Feasibility Inputs'!$B$54,'Detailed Feasibility Inputs'!$E$54,IF('Detailed Feasibility'!C77='Detailed Feasibility Inputs'!$B$55,'Detailed Feasibility Inputs'!$E$55,IF('Detailed Feasibility'!C77='Detailed Feasibility Inputs'!$B$56,'Detailed Feasibility Inputs'!$E$56,IF('Detailed Feasibility'!C77='Detailed Feasibility Inputs'!$B$57,'Detailed Feasibility Inputs'!$E$57,IF('Detailed Feasibility'!C77='Detailed Feasibility Inputs'!$B$58,'Detailed Feasibility Inputs'!$E$58,0))))))</f>
        <v>360000</v>
      </c>
      <c r="F77" s="392">
        <v>24</v>
      </c>
      <c r="G77" s="393">
        <v>27</v>
      </c>
      <c r="H77" s="377">
        <v>28</v>
      </c>
      <c r="I77" s="607">
        <f t="shared" si="0"/>
        <v>29</v>
      </c>
      <c r="J77" s="91"/>
      <c r="K77" s="95">
        <f t="shared" si="1"/>
        <v>83700</v>
      </c>
      <c r="L77" s="95">
        <f t="shared" si="2"/>
        <v>83700</v>
      </c>
      <c r="M77" s="95">
        <f t="shared" si="3"/>
        <v>111600</v>
      </c>
      <c r="N77" s="96">
        <f t="shared" si="4"/>
        <v>120000</v>
      </c>
      <c r="O77" s="96">
        <f t="shared" si="5"/>
        <v>120000</v>
      </c>
      <c r="P77" s="96">
        <f t="shared" si="6"/>
        <v>120000</v>
      </c>
      <c r="Q77" s="91"/>
      <c r="R77" s="91"/>
      <c r="S77" s="91"/>
      <c r="T77" s="16"/>
      <c r="U77" s="16"/>
      <c r="V77" s="16"/>
      <c r="W77" s="16"/>
      <c r="X77" s="16"/>
      <c r="Y77" s="16"/>
      <c r="Z77" s="16"/>
      <c r="AA77" s="16"/>
      <c r="AB77" s="16"/>
      <c r="AC77" s="16"/>
      <c r="BM77" s="307"/>
      <c r="BN77" s="307"/>
    </row>
    <row r="78" spans="2:66" x14ac:dyDescent="0.45">
      <c r="B78" s="390" t="str">
        <f>'Detailed Feasibility Inputs'!B30</f>
        <v>Lot 16</v>
      </c>
      <c r="C78" s="407" t="str">
        <f>'Detailed Feasibility Inputs'!C30</f>
        <v>4 Bed</v>
      </c>
      <c r="D78" s="391">
        <f>IF(C78='Detailed Feasibility Inputs'!$E$16,'Detailed Feasibility Inputs'!$K$42,IF('Detailed Feasibility'!C78='Detailed Feasibility Inputs'!$E$17,'Detailed Feasibility Inputs'!$K$43,IF('Detailed Feasibility'!C78='Detailed Feasibility Inputs'!$E$18,'Detailed Feasibility Inputs'!$K$44,IF('Detailed Feasibility'!C78='Detailed Feasibility Inputs'!$E$19,'Detailed Feasibility Inputs'!$K$45,IF('Detailed Feasibility'!C78='Detailed Feasibility Inputs'!$E$20,'Detailed Feasibility Inputs'!$K$46,IF('Detailed Feasibility'!C78='Detailed Feasibility Inputs'!$E$21,'Detailed Feasibility Inputs'!$K$47,0))))))</f>
        <v>341000</v>
      </c>
      <c r="E78" s="345">
        <f>IF(C78='Detailed Feasibility Inputs'!$B$53,'Detailed Feasibility Inputs'!$E$53,IF('Detailed Feasibility'!C78='Detailed Feasibility Inputs'!$B$54,'Detailed Feasibility Inputs'!$E$54,IF('Detailed Feasibility'!C78='Detailed Feasibility Inputs'!$B$55,'Detailed Feasibility Inputs'!$E$55,IF('Detailed Feasibility'!C78='Detailed Feasibility Inputs'!$B$56,'Detailed Feasibility Inputs'!$E$56,IF('Detailed Feasibility'!C78='Detailed Feasibility Inputs'!$B$57,'Detailed Feasibility Inputs'!$E$57,IF('Detailed Feasibility'!C78='Detailed Feasibility Inputs'!$B$58,'Detailed Feasibility Inputs'!$E$58,0))))))</f>
        <v>360000</v>
      </c>
      <c r="F78" s="392">
        <v>24</v>
      </c>
      <c r="G78" s="393">
        <v>27</v>
      </c>
      <c r="H78" s="377">
        <v>28</v>
      </c>
      <c r="I78" s="607">
        <f t="shared" si="0"/>
        <v>29</v>
      </c>
      <c r="J78" s="91"/>
      <c r="K78" s="95">
        <f t="shared" si="1"/>
        <v>83700</v>
      </c>
      <c r="L78" s="95">
        <f t="shared" si="2"/>
        <v>83700</v>
      </c>
      <c r="M78" s="95">
        <f t="shared" si="3"/>
        <v>111600</v>
      </c>
      <c r="N78" s="96">
        <f t="shared" si="4"/>
        <v>120000</v>
      </c>
      <c r="O78" s="96">
        <f t="shared" si="5"/>
        <v>120000</v>
      </c>
      <c r="P78" s="96">
        <f t="shared" si="6"/>
        <v>120000</v>
      </c>
      <c r="Q78" s="91"/>
      <c r="R78" s="91"/>
      <c r="S78" s="91"/>
      <c r="T78" s="16"/>
      <c r="U78" s="16"/>
      <c r="V78" s="16"/>
      <c r="W78" s="16"/>
      <c r="X78" s="16"/>
      <c r="Y78" s="16"/>
      <c r="Z78" s="16"/>
      <c r="AA78" s="16"/>
      <c r="AB78" s="16"/>
      <c r="AC78" s="16"/>
      <c r="BM78" s="307"/>
      <c r="BN78" s="307"/>
    </row>
    <row r="79" spans="2:66" x14ac:dyDescent="0.45">
      <c r="B79" s="390" t="str">
        <f>'Detailed Feasibility Inputs'!B31</f>
        <v>Lot 17</v>
      </c>
      <c r="C79" s="407" t="str">
        <f>'Detailed Feasibility Inputs'!C31</f>
        <v>4 Bed</v>
      </c>
      <c r="D79" s="391">
        <f>IF(C79='Detailed Feasibility Inputs'!$E$16,'Detailed Feasibility Inputs'!$K$42,IF('Detailed Feasibility'!C79='Detailed Feasibility Inputs'!$E$17,'Detailed Feasibility Inputs'!$K$43,IF('Detailed Feasibility'!C79='Detailed Feasibility Inputs'!$E$18,'Detailed Feasibility Inputs'!$K$44,IF('Detailed Feasibility'!C79='Detailed Feasibility Inputs'!$E$19,'Detailed Feasibility Inputs'!$K$45,IF('Detailed Feasibility'!C79='Detailed Feasibility Inputs'!$E$20,'Detailed Feasibility Inputs'!$K$46,IF('Detailed Feasibility'!C79='Detailed Feasibility Inputs'!$E$21,'Detailed Feasibility Inputs'!$K$47,0))))))</f>
        <v>341000</v>
      </c>
      <c r="E79" s="345">
        <f>IF(C79='Detailed Feasibility Inputs'!$B$53,'Detailed Feasibility Inputs'!$E$53,IF('Detailed Feasibility'!C79='Detailed Feasibility Inputs'!$B$54,'Detailed Feasibility Inputs'!$E$54,IF('Detailed Feasibility'!C79='Detailed Feasibility Inputs'!$B$55,'Detailed Feasibility Inputs'!$E$55,IF('Detailed Feasibility'!C79='Detailed Feasibility Inputs'!$B$56,'Detailed Feasibility Inputs'!$E$56,IF('Detailed Feasibility'!C79='Detailed Feasibility Inputs'!$B$57,'Detailed Feasibility Inputs'!$E$57,IF('Detailed Feasibility'!C79='Detailed Feasibility Inputs'!$B$58,'Detailed Feasibility Inputs'!$E$58,0))))))</f>
        <v>360000</v>
      </c>
      <c r="F79" s="392">
        <v>24</v>
      </c>
      <c r="G79" s="393">
        <v>27</v>
      </c>
      <c r="H79" s="377">
        <v>28</v>
      </c>
      <c r="I79" s="607">
        <f t="shared" si="0"/>
        <v>29</v>
      </c>
      <c r="J79" s="91"/>
      <c r="K79" s="95">
        <f t="shared" si="1"/>
        <v>83700</v>
      </c>
      <c r="L79" s="95">
        <f t="shared" si="2"/>
        <v>83700</v>
      </c>
      <c r="M79" s="95">
        <f t="shared" si="3"/>
        <v>111600</v>
      </c>
      <c r="N79" s="96">
        <f t="shared" si="4"/>
        <v>120000</v>
      </c>
      <c r="O79" s="96">
        <f t="shared" si="5"/>
        <v>120000</v>
      </c>
      <c r="P79" s="96">
        <f t="shared" si="6"/>
        <v>120000</v>
      </c>
      <c r="Q79" s="91"/>
      <c r="R79" s="91"/>
      <c r="S79" s="91"/>
      <c r="T79" s="16"/>
      <c r="U79" s="16"/>
      <c r="V79" s="16"/>
      <c r="W79" s="16"/>
      <c r="X79" s="16"/>
      <c r="Y79" s="16"/>
      <c r="Z79" s="16"/>
      <c r="AA79" s="16"/>
      <c r="AB79" s="16"/>
      <c r="AC79" s="16"/>
      <c r="BM79" s="307"/>
      <c r="BN79" s="307"/>
    </row>
    <row r="80" spans="2:66" x14ac:dyDescent="0.45">
      <c r="B80" s="390" t="str">
        <f>'Detailed Feasibility Inputs'!B32</f>
        <v>Lot 18</v>
      </c>
      <c r="C80" s="407" t="str">
        <f>'Detailed Feasibility Inputs'!C32</f>
        <v>4 Bed</v>
      </c>
      <c r="D80" s="391">
        <f>IF(C80='Detailed Feasibility Inputs'!$E$16,'Detailed Feasibility Inputs'!$K$42,IF('Detailed Feasibility'!C80='Detailed Feasibility Inputs'!$E$17,'Detailed Feasibility Inputs'!$K$43,IF('Detailed Feasibility'!C80='Detailed Feasibility Inputs'!$E$18,'Detailed Feasibility Inputs'!$K$44,IF('Detailed Feasibility'!C80='Detailed Feasibility Inputs'!$E$19,'Detailed Feasibility Inputs'!$K$45,IF('Detailed Feasibility'!C80='Detailed Feasibility Inputs'!$E$20,'Detailed Feasibility Inputs'!$K$46,IF('Detailed Feasibility'!C80='Detailed Feasibility Inputs'!$E$21,'Detailed Feasibility Inputs'!$K$47,0))))))</f>
        <v>341000</v>
      </c>
      <c r="E80" s="345">
        <f>IF(C80='Detailed Feasibility Inputs'!$B$53,'Detailed Feasibility Inputs'!$E$53,IF('Detailed Feasibility'!C80='Detailed Feasibility Inputs'!$B$54,'Detailed Feasibility Inputs'!$E$54,IF('Detailed Feasibility'!C80='Detailed Feasibility Inputs'!$B$55,'Detailed Feasibility Inputs'!$E$55,IF('Detailed Feasibility'!C80='Detailed Feasibility Inputs'!$B$56,'Detailed Feasibility Inputs'!$E$56,IF('Detailed Feasibility'!C80='Detailed Feasibility Inputs'!$B$57,'Detailed Feasibility Inputs'!$E$57,IF('Detailed Feasibility'!C80='Detailed Feasibility Inputs'!$B$58,'Detailed Feasibility Inputs'!$E$58,0))))))</f>
        <v>360000</v>
      </c>
      <c r="F80" s="392">
        <v>24</v>
      </c>
      <c r="G80" s="393">
        <v>27</v>
      </c>
      <c r="H80" s="377">
        <v>28</v>
      </c>
      <c r="I80" s="607">
        <f t="shared" si="0"/>
        <v>29</v>
      </c>
      <c r="J80" s="91"/>
      <c r="K80" s="95">
        <f t="shared" si="1"/>
        <v>83700</v>
      </c>
      <c r="L80" s="95">
        <f t="shared" si="2"/>
        <v>83700</v>
      </c>
      <c r="M80" s="95">
        <f t="shared" si="3"/>
        <v>111600</v>
      </c>
      <c r="N80" s="96">
        <f t="shared" si="4"/>
        <v>120000</v>
      </c>
      <c r="O80" s="96">
        <f t="shared" si="5"/>
        <v>120000</v>
      </c>
      <c r="P80" s="96">
        <f t="shared" si="6"/>
        <v>120000</v>
      </c>
      <c r="Q80" s="91"/>
      <c r="R80" s="91"/>
      <c r="S80" s="91"/>
      <c r="T80" s="16"/>
      <c r="U80" s="16"/>
      <c r="V80" s="16"/>
      <c r="W80" s="16"/>
      <c r="X80" s="16"/>
      <c r="Y80" s="16"/>
      <c r="Z80" s="16"/>
      <c r="AA80" s="16"/>
      <c r="AB80" s="16"/>
      <c r="AC80" s="16"/>
      <c r="BM80" s="307"/>
      <c r="BN80" s="307"/>
    </row>
    <row r="81" spans="2:66" x14ac:dyDescent="0.45">
      <c r="B81" s="390" t="str">
        <f>'Detailed Feasibility Inputs'!B33</f>
        <v>Lot 19</v>
      </c>
      <c r="C81" s="407" t="str">
        <f>'Detailed Feasibility Inputs'!C33</f>
        <v>4 Bed</v>
      </c>
      <c r="D81" s="391">
        <f>IF(C81='Detailed Feasibility Inputs'!$E$16,'Detailed Feasibility Inputs'!$K$42,IF('Detailed Feasibility'!C81='Detailed Feasibility Inputs'!$E$17,'Detailed Feasibility Inputs'!$K$43,IF('Detailed Feasibility'!C81='Detailed Feasibility Inputs'!$E$18,'Detailed Feasibility Inputs'!$K$44,IF('Detailed Feasibility'!C81='Detailed Feasibility Inputs'!$E$19,'Detailed Feasibility Inputs'!$K$45,IF('Detailed Feasibility'!C81='Detailed Feasibility Inputs'!$E$20,'Detailed Feasibility Inputs'!$K$46,IF('Detailed Feasibility'!C81='Detailed Feasibility Inputs'!$E$21,'Detailed Feasibility Inputs'!$K$47,0))))))</f>
        <v>341000</v>
      </c>
      <c r="E81" s="345">
        <f>IF(C81='Detailed Feasibility Inputs'!$B$53,'Detailed Feasibility Inputs'!$E$53,IF('Detailed Feasibility'!C81='Detailed Feasibility Inputs'!$B$54,'Detailed Feasibility Inputs'!$E$54,IF('Detailed Feasibility'!C81='Detailed Feasibility Inputs'!$B$55,'Detailed Feasibility Inputs'!$E$55,IF('Detailed Feasibility'!C81='Detailed Feasibility Inputs'!$B$56,'Detailed Feasibility Inputs'!$E$56,IF('Detailed Feasibility'!C81='Detailed Feasibility Inputs'!$B$57,'Detailed Feasibility Inputs'!$E$57,IF('Detailed Feasibility'!C81='Detailed Feasibility Inputs'!$B$58,'Detailed Feasibility Inputs'!$E$58,0))))))</f>
        <v>360000</v>
      </c>
      <c r="F81" s="392">
        <v>24</v>
      </c>
      <c r="G81" s="393">
        <v>27</v>
      </c>
      <c r="H81" s="377">
        <v>28</v>
      </c>
      <c r="I81" s="607">
        <f t="shared" si="0"/>
        <v>29</v>
      </c>
      <c r="J81" s="91"/>
      <c r="K81" s="95">
        <f t="shared" si="1"/>
        <v>83700</v>
      </c>
      <c r="L81" s="95">
        <f t="shared" si="2"/>
        <v>83700</v>
      </c>
      <c r="M81" s="95">
        <f t="shared" si="3"/>
        <v>111600</v>
      </c>
      <c r="N81" s="96">
        <f t="shared" si="4"/>
        <v>120000</v>
      </c>
      <c r="O81" s="96">
        <f t="shared" si="5"/>
        <v>120000</v>
      </c>
      <c r="P81" s="96">
        <f t="shared" si="6"/>
        <v>120000</v>
      </c>
      <c r="Q81" s="91"/>
      <c r="R81" s="91"/>
      <c r="S81" s="91"/>
      <c r="T81" s="16"/>
      <c r="U81" s="16"/>
      <c r="V81" s="16"/>
      <c r="W81" s="16"/>
      <c r="X81" s="16"/>
      <c r="Y81" s="16"/>
      <c r="Z81" s="16"/>
      <c r="AA81" s="16"/>
      <c r="AB81" s="16"/>
      <c r="AC81" s="16"/>
      <c r="BM81" s="307"/>
      <c r="BN81" s="307"/>
    </row>
    <row r="82" spans="2:66" x14ac:dyDescent="0.45">
      <c r="B82" s="394" t="str">
        <f>'Detailed Feasibility Inputs'!B34</f>
        <v>Lot 20</v>
      </c>
      <c r="C82" s="414" t="str">
        <f>'Detailed Feasibility Inputs'!C34</f>
        <v>4 Bed</v>
      </c>
      <c r="D82" s="396">
        <f>IF(C82='Detailed Feasibility Inputs'!$E$16,'Detailed Feasibility Inputs'!$K$42,IF('Detailed Feasibility'!C82='Detailed Feasibility Inputs'!$E$17,'Detailed Feasibility Inputs'!$K$43,IF('Detailed Feasibility'!C82='Detailed Feasibility Inputs'!$E$18,'Detailed Feasibility Inputs'!$K$44,IF('Detailed Feasibility'!C82='Detailed Feasibility Inputs'!$E$19,'Detailed Feasibility Inputs'!$K$45,IF('Detailed Feasibility'!C82='Detailed Feasibility Inputs'!$E$20,'Detailed Feasibility Inputs'!$K$46,IF('Detailed Feasibility'!C82='Detailed Feasibility Inputs'!$E$21,'Detailed Feasibility Inputs'!$K$47,0))))))</f>
        <v>341000</v>
      </c>
      <c r="E82" s="313">
        <f>IF(C82='Detailed Feasibility Inputs'!$B$53,'Detailed Feasibility Inputs'!$E$53,IF('Detailed Feasibility'!C82='Detailed Feasibility Inputs'!$B$54,'Detailed Feasibility Inputs'!$E$54,IF('Detailed Feasibility'!C82='Detailed Feasibility Inputs'!$B$55,'Detailed Feasibility Inputs'!$E$55,IF('Detailed Feasibility'!C82='Detailed Feasibility Inputs'!$B$56,'Detailed Feasibility Inputs'!$E$56,IF('Detailed Feasibility'!C82='Detailed Feasibility Inputs'!$B$57,'Detailed Feasibility Inputs'!$E$57,IF('Detailed Feasibility'!C82='Detailed Feasibility Inputs'!$B$58,'Detailed Feasibility Inputs'!$E$58,0))))))</f>
        <v>360000</v>
      </c>
      <c r="F82" s="398">
        <v>24</v>
      </c>
      <c r="G82" s="379">
        <v>27</v>
      </c>
      <c r="H82" s="380">
        <v>28</v>
      </c>
      <c r="I82" s="607">
        <f t="shared" si="0"/>
        <v>29</v>
      </c>
      <c r="J82" s="91"/>
      <c r="K82" s="95">
        <f t="shared" si="1"/>
        <v>83700</v>
      </c>
      <c r="L82" s="95">
        <f t="shared" si="2"/>
        <v>83700</v>
      </c>
      <c r="M82" s="95">
        <f t="shared" si="3"/>
        <v>111600</v>
      </c>
      <c r="N82" s="96">
        <f t="shared" si="4"/>
        <v>120000</v>
      </c>
      <c r="O82" s="96">
        <f t="shared" si="5"/>
        <v>120000</v>
      </c>
      <c r="P82" s="96">
        <f t="shared" si="6"/>
        <v>120000</v>
      </c>
      <c r="Q82" s="91"/>
      <c r="R82" s="91"/>
      <c r="S82" s="91"/>
      <c r="T82" s="16"/>
      <c r="U82" s="16"/>
      <c r="V82" s="16"/>
      <c r="W82" s="16"/>
      <c r="X82" s="16"/>
      <c r="Y82" s="16"/>
      <c r="Z82" s="16"/>
      <c r="AA82" s="16"/>
      <c r="AB82" s="16"/>
      <c r="AC82" s="16"/>
      <c r="BM82" s="307"/>
      <c r="BN82" s="307"/>
    </row>
    <row r="83" spans="2:66" x14ac:dyDescent="0.45">
      <c r="B83" s="407"/>
      <c r="C83" s="407"/>
      <c r="D83" s="345"/>
      <c r="E83" s="345"/>
      <c r="F83" s="345"/>
      <c r="G83" s="345"/>
      <c r="H83" s="407"/>
      <c r="I83" s="607"/>
      <c r="J83" s="95"/>
      <c r="K83" s="95"/>
      <c r="L83" s="95"/>
      <c r="M83" s="95"/>
      <c r="N83" s="96"/>
      <c r="O83" s="96"/>
      <c r="P83" s="96"/>
      <c r="Q83" s="96"/>
      <c r="R83" s="91"/>
      <c r="BM83" s="307"/>
      <c r="BN83" s="307"/>
    </row>
    <row r="84" spans="2:66" collapsed="1" x14ac:dyDescent="0.45">
      <c r="B84" s="367" t="s">
        <v>262</v>
      </c>
      <c r="C84" s="470"/>
      <c r="D84" s="399"/>
      <c r="E84" s="399"/>
      <c r="F84" s="399"/>
      <c r="G84" s="307"/>
      <c r="H84" s="307"/>
      <c r="I84" s="307"/>
      <c r="J84" s="95"/>
      <c r="K84" s="95" t="e">
        <f>IF(#REF!=$B$91,$H$91,0)+IF(#REF!=$B$92,$H$92,0)+IF(#REF!=$B$93,$H$93,0)+IF(#REF!=$B$94,$H$94,0)+IF(#REF!=$B$95,$H$95,0)+IF(#REF!=$B$96,$H$96,0)</f>
        <v>#REF!</v>
      </c>
      <c r="L84" s="95"/>
      <c r="M84" s="95"/>
      <c r="N84" s="96"/>
      <c r="O84" s="96"/>
      <c r="P84" s="96"/>
      <c r="Q84" s="96"/>
      <c r="R84" s="91"/>
      <c r="BM84" s="307"/>
      <c r="BN84" s="307"/>
    </row>
    <row r="85" spans="2:66" x14ac:dyDescent="0.45">
      <c r="B85" s="553" t="s">
        <v>366</v>
      </c>
      <c r="C85" s="451"/>
      <c r="D85" s="451"/>
      <c r="E85" s="451"/>
      <c r="F85" s="451"/>
      <c r="G85" s="451"/>
      <c r="H85" s="451"/>
      <c r="I85" s="451"/>
      <c r="J85" s="451"/>
      <c r="K85" s="95"/>
      <c r="L85" s="592"/>
      <c r="M85" s="592"/>
      <c r="N85" s="158"/>
      <c r="O85" s="158"/>
      <c r="P85" s="158"/>
      <c r="Q85" s="158"/>
      <c r="R85" s="91"/>
      <c r="BM85" s="307"/>
      <c r="BN85" s="307"/>
    </row>
    <row r="86" spans="2:66" x14ac:dyDescent="0.45">
      <c r="C86" s="451"/>
      <c r="D86" s="451"/>
      <c r="E86" s="451"/>
      <c r="F86" s="451"/>
      <c r="G86" s="451"/>
      <c r="H86" s="451"/>
      <c r="I86" s="451"/>
      <c r="J86" s="451"/>
      <c r="K86" s="95"/>
      <c r="L86" s="592"/>
      <c r="M86" s="592"/>
      <c r="N86" s="158"/>
      <c r="O86" s="158"/>
      <c r="P86" s="158"/>
      <c r="Q86" s="158"/>
      <c r="R86" s="91"/>
      <c r="BM86" s="307"/>
      <c r="BN86" s="307"/>
    </row>
    <row r="87" spans="2:66" x14ac:dyDescent="0.45">
      <c r="B87" s="729" t="s">
        <v>263</v>
      </c>
      <c r="C87" s="730"/>
      <c r="D87" s="730"/>
      <c r="E87" s="730"/>
      <c r="F87" s="731"/>
      <c r="G87" s="729" t="s">
        <v>264</v>
      </c>
      <c r="H87" s="730"/>
      <c r="I87" s="730"/>
      <c r="J87" s="731"/>
      <c r="K87" s="95" t="e">
        <f>IF(#REF!=$B$91,$H$91,0)+IF(#REF!=$B$92,$H$92,0)+IF(#REF!=$B$93,$H$93,0)+IF(#REF!=$B$94,$H$94,0)+IF(#REF!=$B$95,$H$95,0)+IF(#REF!=$B$96,$H$96,0)</f>
        <v>#REF!</v>
      </c>
      <c r="L87" s="592"/>
      <c r="M87" s="592"/>
      <c r="N87" s="158"/>
      <c r="O87" s="158"/>
      <c r="P87" s="158"/>
      <c r="Q87" s="158"/>
      <c r="R87" s="91"/>
      <c r="BM87" s="307"/>
      <c r="BN87" s="307"/>
    </row>
    <row r="88" spans="2:66" x14ac:dyDescent="0.45">
      <c r="B88" s="732"/>
      <c r="C88" s="733"/>
      <c r="D88" s="733"/>
      <c r="E88" s="733"/>
      <c r="F88" s="734"/>
      <c r="G88" s="732"/>
      <c r="H88" s="733"/>
      <c r="I88" s="733"/>
      <c r="J88" s="734"/>
      <c r="K88" s="592"/>
      <c r="L88" s="592"/>
      <c r="M88" s="592"/>
      <c r="N88" s="158"/>
      <c r="O88" s="158"/>
      <c r="P88" s="158"/>
      <c r="Q88" s="158"/>
      <c r="R88" s="91"/>
      <c r="BM88" s="307"/>
      <c r="BN88" s="307"/>
    </row>
    <row r="89" spans="2:66" x14ac:dyDescent="0.45">
      <c r="B89" s="400" t="s">
        <v>147</v>
      </c>
      <c r="C89" s="471" t="s">
        <v>152</v>
      </c>
      <c r="D89" s="471" t="s">
        <v>265</v>
      </c>
      <c r="E89" s="471" t="s">
        <v>266</v>
      </c>
      <c r="F89" s="472" t="s">
        <v>267</v>
      </c>
      <c r="G89" s="471" t="s">
        <v>268</v>
      </c>
      <c r="H89" s="471" t="s">
        <v>269</v>
      </c>
      <c r="I89" s="471" t="s">
        <v>270</v>
      </c>
      <c r="J89" s="472" t="s">
        <v>271</v>
      </c>
      <c r="K89" s="592"/>
      <c r="L89" s="592"/>
      <c r="M89" s="592"/>
      <c r="N89" s="158"/>
      <c r="O89" s="158"/>
      <c r="P89" s="158"/>
      <c r="Q89" s="158"/>
      <c r="R89" s="91"/>
      <c r="BM89" s="307"/>
      <c r="BN89" s="307"/>
    </row>
    <row r="90" spans="2:66" x14ac:dyDescent="0.45">
      <c r="B90" s="340"/>
      <c r="C90" s="407"/>
      <c r="D90" s="341"/>
      <c r="E90" s="341"/>
      <c r="F90" s="401"/>
      <c r="G90" s="100">
        <f>IF(C97=Codes!$N$4,Codes!$O$4,Codes!O5)</f>
        <v>0.3</v>
      </c>
      <c r="H90" s="100">
        <f>IF(C97=Codes!$N$4,Codes!$P$4,Codes!$P$5)</f>
        <v>0.3</v>
      </c>
      <c r="I90" s="100">
        <f>IF(C97=Codes!$N$4,Codes!$Q$4,Codes!$Q$5)</f>
        <v>0.4</v>
      </c>
      <c r="J90" s="402"/>
      <c r="K90" s="592"/>
      <c r="L90" s="592"/>
      <c r="M90" s="592"/>
      <c r="N90" s="158"/>
      <c r="O90" s="158"/>
      <c r="P90" s="158"/>
      <c r="Q90" s="158"/>
      <c r="R90" s="91"/>
      <c r="BM90" s="307"/>
      <c r="BN90" s="307"/>
    </row>
    <row r="91" spans="2:66" x14ac:dyDescent="0.45">
      <c r="B91" s="101" t="str">
        <f>'Detailed Feasibility Inputs'!E16</f>
        <v>1 Bed</v>
      </c>
      <c r="C91" s="407">
        <f>'Detailed Feasibility Inputs'!F16</f>
        <v>7</v>
      </c>
      <c r="D91" s="345">
        <f>'Detailed Feasibility Inputs'!I42</f>
        <v>440000</v>
      </c>
      <c r="E91" s="100">
        <f>IF(D91=0,0,100%-'Detailed Feasibility Inputs'!J42)</f>
        <v>0.44999999999999996</v>
      </c>
      <c r="F91" s="353">
        <f t="shared" ref="F91:F96" si="7">D91*E91</f>
        <v>197999.99999999997</v>
      </c>
      <c r="G91" s="345">
        <f>IF(C91=0,0,$F$91*$G$90)</f>
        <v>59399.999999999985</v>
      </c>
      <c r="H91" s="345">
        <f>IF(C91=0,0,$F$91*$H$90)</f>
        <v>59399.999999999985</v>
      </c>
      <c r="I91" s="345">
        <f>IF(C91=0,0,$F$91*$I$90)</f>
        <v>79200</v>
      </c>
      <c r="J91" s="353">
        <f>F91*C91</f>
        <v>1385999.9999999998</v>
      </c>
      <c r="K91" s="592"/>
      <c r="L91" s="592"/>
      <c r="M91" s="592"/>
      <c r="N91" s="158"/>
      <c r="O91" s="158"/>
      <c r="P91" s="158"/>
      <c r="Q91" s="158"/>
      <c r="R91" s="91"/>
      <c r="BM91" s="307"/>
      <c r="BN91" s="307"/>
    </row>
    <row r="92" spans="2:66" x14ac:dyDescent="0.45">
      <c r="B92" s="101" t="str">
        <f>'Detailed Feasibility Inputs'!E17</f>
        <v>2 Bed</v>
      </c>
      <c r="C92" s="407">
        <f>'Detailed Feasibility Inputs'!F17</f>
        <v>4</v>
      </c>
      <c r="D92" s="345">
        <f>'Detailed Feasibility Inputs'!I43</f>
        <v>525000</v>
      </c>
      <c r="E92" s="100">
        <f>IF(D92=0,0,100%-'Detailed Feasibility Inputs'!J43)</f>
        <v>0.44999999999999996</v>
      </c>
      <c r="F92" s="353">
        <f t="shared" si="7"/>
        <v>236249.99999999997</v>
      </c>
      <c r="G92" s="345">
        <f>IF(C92=0,0,$F$92*$G$90)</f>
        <v>70874.999999999985</v>
      </c>
      <c r="H92" s="345">
        <f>IF(C92=0,0,$F$92*$H$90)</f>
        <v>70874.999999999985</v>
      </c>
      <c r="I92" s="345">
        <f>IF(C92=0,0,$F$92*$I$90)</f>
        <v>94500</v>
      </c>
      <c r="J92" s="353">
        <f>F92*C92</f>
        <v>944999.99999999988</v>
      </c>
      <c r="K92" s="592"/>
      <c r="L92" s="592"/>
      <c r="M92" s="592"/>
      <c r="N92" s="158"/>
      <c r="O92" s="158"/>
      <c r="P92" s="158"/>
      <c r="Q92" s="158"/>
      <c r="R92" s="91"/>
      <c r="BM92" s="307"/>
      <c r="BN92" s="307"/>
    </row>
    <row r="93" spans="2:66" x14ac:dyDescent="0.45">
      <c r="B93" s="101" t="str">
        <f>'Detailed Feasibility Inputs'!E18</f>
        <v>3 Bed</v>
      </c>
      <c r="C93" s="407">
        <f>'Detailed Feasibility Inputs'!F18</f>
        <v>2</v>
      </c>
      <c r="D93" s="345">
        <f>'Detailed Feasibility Inputs'!I44</f>
        <v>560000</v>
      </c>
      <c r="E93" s="100">
        <f>IF(D93=0,0,100%-'Detailed Feasibility Inputs'!J44)</f>
        <v>0.44999999999999996</v>
      </c>
      <c r="F93" s="353">
        <f t="shared" si="7"/>
        <v>251999.99999999997</v>
      </c>
      <c r="G93" s="345">
        <f>IF(C93=0,0,$F$93*$G$90)</f>
        <v>75599.999999999985</v>
      </c>
      <c r="H93" s="345">
        <f>IF(C93=0,0,$F$93*$H$90)</f>
        <v>75599.999999999985</v>
      </c>
      <c r="I93" s="345">
        <f>IF(C93=0,0,$F$93*$I$90)</f>
        <v>100800</v>
      </c>
      <c r="J93" s="353">
        <f>F93*C93</f>
        <v>503999.99999999994</v>
      </c>
      <c r="K93" s="592"/>
      <c r="L93" s="592"/>
      <c r="M93" s="592"/>
      <c r="N93" s="158"/>
      <c r="O93" s="158"/>
      <c r="P93" s="158"/>
      <c r="Q93" s="158"/>
      <c r="R93" s="91"/>
      <c r="BM93" s="307"/>
      <c r="BN93" s="307"/>
    </row>
    <row r="94" spans="2:66" x14ac:dyDescent="0.45">
      <c r="B94" s="101" t="str">
        <f>'Detailed Feasibility Inputs'!E19</f>
        <v>4 Bed</v>
      </c>
      <c r="C94" s="407">
        <f>'Detailed Feasibility Inputs'!F19</f>
        <v>7</v>
      </c>
      <c r="D94" s="345">
        <f>'Detailed Feasibility Inputs'!I45</f>
        <v>620000</v>
      </c>
      <c r="E94" s="100">
        <f>IF(D94=0,0,100%-'Detailed Feasibility Inputs'!J45)</f>
        <v>0.44999999999999996</v>
      </c>
      <c r="F94" s="353">
        <f t="shared" si="7"/>
        <v>279000</v>
      </c>
      <c r="G94" s="345">
        <f>IF(C94=0,0,$F$94*$G$90)</f>
        <v>83700</v>
      </c>
      <c r="H94" s="345">
        <f>IF(C94=0,0,$F$94*$H$90)</f>
        <v>83700</v>
      </c>
      <c r="I94" s="345">
        <f>IF(C94=0,0,$F$94*$I$90)</f>
        <v>111600</v>
      </c>
      <c r="J94" s="353">
        <f>F94*C94</f>
        <v>1953000</v>
      </c>
      <c r="K94" s="592"/>
      <c r="L94" s="592"/>
      <c r="M94" s="592"/>
      <c r="N94" s="158"/>
      <c r="O94" s="158"/>
      <c r="P94" s="158"/>
      <c r="Q94" s="158"/>
      <c r="R94" s="91"/>
      <c r="BM94" s="307"/>
      <c r="BN94" s="307"/>
    </row>
    <row r="95" spans="2:66" x14ac:dyDescent="0.45">
      <c r="B95" s="101" t="str">
        <f>'Detailed Feasibility Inputs'!E20</f>
        <v>5 Bed</v>
      </c>
      <c r="C95" s="407">
        <f>'Detailed Feasibility Inputs'!F20</f>
        <v>0</v>
      </c>
      <c r="D95" s="345">
        <f>'Detailed Feasibility Inputs'!I46</f>
        <v>0</v>
      </c>
      <c r="E95" s="100">
        <f>IF(D95=0,0,100%-'Detailed Feasibility Inputs'!J46)</f>
        <v>0</v>
      </c>
      <c r="F95" s="353">
        <f t="shared" si="7"/>
        <v>0</v>
      </c>
      <c r="G95" s="345">
        <f>IF(C95=0,0,$F$95*$G$90)</f>
        <v>0</v>
      </c>
      <c r="H95" s="345">
        <f>IF(C95=0,0,$F$95*$H$90)</f>
        <v>0</v>
      </c>
      <c r="I95" s="345">
        <f>IF(C95=0,0,$F$95*$I$90)</f>
        <v>0</v>
      </c>
      <c r="J95" s="353">
        <f>F95*C95</f>
        <v>0</v>
      </c>
      <c r="K95" s="592"/>
      <c r="L95" s="592"/>
      <c r="M95" s="592"/>
      <c r="N95" s="158"/>
      <c r="O95" s="158"/>
      <c r="P95" s="158"/>
      <c r="Q95" s="158"/>
      <c r="R95" s="91"/>
      <c r="BM95" s="307"/>
      <c r="BN95" s="307"/>
    </row>
    <row r="96" spans="2:66" x14ac:dyDescent="0.45">
      <c r="B96" s="101" t="str">
        <f>'Detailed Feasibility Inputs'!E21</f>
        <v>6 Bed</v>
      </c>
      <c r="C96" s="407">
        <f>'Detailed Feasibility Inputs'!F21</f>
        <v>0</v>
      </c>
      <c r="D96" s="345">
        <f>'Detailed Feasibility Inputs'!I47</f>
        <v>0</v>
      </c>
      <c r="E96" s="100">
        <f>IF(D96=0,0,100%-'Detailed Feasibility Inputs'!J47)</f>
        <v>0</v>
      </c>
      <c r="F96" s="353">
        <f t="shared" si="7"/>
        <v>0</v>
      </c>
      <c r="G96" s="313">
        <f>IF(C96=0,0,$F$96*$G$90)</f>
        <v>0</v>
      </c>
      <c r="H96" s="313">
        <f>IF(C96=0,0,$F$91*$H$90)</f>
        <v>0</v>
      </c>
      <c r="I96" s="313">
        <f>IF(C96=0,0,$F$96*$I$90)</f>
        <v>0</v>
      </c>
      <c r="J96" s="397">
        <f>(F96*'Detailed Feasibility Inputs'!F21)*E96</f>
        <v>0</v>
      </c>
      <c r="K96" s="592"/>
      <c r="L96" s="592"/>
      <c r="M96" s="592"/>
      <c r="N96" s="158"/>
      <c r="O96" s="158"/>
      <c r="P96" s="158"/>
      <c r="Q96" s="158"/>
      <c r="R96" s="91"/>
      <c r="BM96" s="307"/>
      <c r="BN96" s="307"/>
    </row>
    <row r="97" spans="2:66" x14ac:dyDescent="0.45">
      <c r="B97" s="737" t="s">
        <v>367</v>
      </c>
      <c r="C97" s="739" t="s">
        <v>272</v>
      </c>
      <c r="D97" s="740"/>
      <c r="E97" s="740"/>
      <c r="F97" s="741"/>
      <c r="G97" s="735" t="s">
        <v>273</v>
      </c>
      <c r="H97" s="735"/>
      <c r="I97" s="736"/>
      <c r="J97" s="403" t="s">
        <v>274</v>
      </c>
      <c r="K97" s="592"/>
      <c r="L97" s="592"/>
      <c r="M97" s="592"/>
      <c r="N97" s="158"/>
      <c r="O97" s="158"/>
      <c r="P97" s="158"/>
      <c r="Q97" s="158"/>
      <c r="R97" s="91"/>
      <c r="BM97" s="307"/>
      <c r="BN97" s="307"/>
    </row>
    <row r="98" spans="2:66" x14ac:dyDescent="0.45">
      <c r="B98" s="738"/>
      <c r="C98" s="742"/>
      <c r="D98" s="743"/>
      <c r="E98" s="743"/>
      <c r="F98" s="744"/>
      <c r="G98" s="313">
        <f>G90*$J$98</f>
        <v>1436400</v>
      </c>
      <c r="H98" s="313">
        <f>H90*$J$98</f>
        <v>1436400</v>
      </c>
      <c r="I98" s="397">
        <f>I90*$J$98</f>
        <v>1915200</v>
      </c>
      <c r="J98" s="404">
        <f>SUM(J91:J96)</f>
        <v>4788000</v>
      </c>
      <c r="K98" s="592"/>
      <c r="L98" s="592"/>
      <c r="M98" s="592"/>
      <c r="N98" s="158"/>
      <c r="O98" s="158"/>
      <c r="P98" s="158"/>
      <c r="Q98" s="158"/>
      <c r="R98" s="91"/>
      <c r="BM98" s="307"/>
      <c r="BN98" s="307"/>
    </row>
    <row r="99" spans="2:66" s="307" customFormat="1" x14ac:dyDescent="0.45">
      <c r="J99" s="95"/>
      <c r="K99" s="592"/>
      <c r="L99" s="592"/>
      <c r="M99" s="592"/>
      <c r="N99" s="158"/>
      <c r="O99" s="158"/>
      <c r="P99" s="158"/>
      <c r="Q99" s="158"/>
      <c r="R99" s="91"/>
    </row>
    <row r="100" spans="2:66" s="307" customFormat="1" x14ac:dyDescent="0.45">
      <c r="B100" s="367" t="s">
        <v>394</v>
      </c>
      <c r="C100" s="367"/>
      <c r="D100" s="367"/>
      <c r="E100" s="367"/>
      <c r="J100" s="95"/>
      <c r="K100" s="592"/>
      <c r="L100" s="592"/>
      <c r="M100" s="592"/>
      <c r="N100" s="158"/>
      <c r="O100" s="158"/>
      <c r="P100" s="158"/>
      <c r="Q100" s="158"/>
      <c r="R100" s="91"/>
    </row>
    <row r="101" spans="2:66" s="307" customFormat="1" x14ac:dyDescent="0.45">
      <c r="K101" s="592"/>
      <c r="L101" s="592"/>
      <c r="M101" s="592"/>
      <c r="N101" s="16"/>
      <c r="O101" s="158"/>
      <c r="P101" s="158"/>
      <c r="Q101" s="158"/>
      <c r="R101" s="96"/>
      <c r="AK101" s="452"/>
      <c r="AL101" s="69"/>
      <c r="AN101" s="70"/>
      <c r="AO101" s="453"/>
    </row>
    <row r="102" spans="2:66" s="307" customFormat="1" x14ac:dyDescent="0.45">
      <c r="B102" s="666" t="s">
        <v>275</v>
      </c>
      <c r="C102" s="667" t="s">
        <v>276</v>
      </c>
      <c r="D102" s="667" t="s">
        <v>188</v>
      </c>
      <c r="E102" s="668" t="s">
        <v>277</v>
      </c>
      <c r="J102" s="94"/>
      <c r="K102" s="592"/>
      <c r="L102" s="592"/>
      <c r="M102" s="592"/>
      <c r="N102" s="16"/>
      <c r="O102" s="158"/>
      <c r="P102" s="158"/>
      <c r="Q102" s="158"/>
      <c r="R102" s="96"/>
      <c r="AK102" s="452"/>
      <c r="AL102" s="69"/>
      <c r="AN102" s="70"/>
      <c r="AO102" s="453"/>
    </row>
    <row r="103" spans="2:66" s="307" customFormat="1" x14ac:dyDescent="0.45">
      <c r="B103" s="101" t="s">
        <v>278</v>
      </c>
      <c r="C103" s="639">
        <f t="shared" ref="C103:C108" si="8">D103/$D$109</f>
        <v>1</v>
      </c>
      <c r="D103" s="103">
        <f>$J$98</f>
        <v>4788000</v>
      </c>
      <c r="E103" s="104"/>
      <c r="J103" s="94"/>
      <c r="K103" s="95"/>
      <c r="L103" s="592"/>
      <c r="M103" s="592"/>
      <c r="N103" s="16"/>
      <c r="O103" s="158"/>
      <c r="P103" s="158"/>
      <c r="Q103" s="158"/>
      <c r="R103" s="96"/>
      <c r="AK103" s="452"/>
      <c r="AL103" s="69"/>
      <c r="AN103" s="70"/>
      <c r="AO103" s="453"/>
    </row>
    <row r="104" spans="2:66" s="307" customFormat="1" x14ac:dyDescent="0.45">
      <c r="B104" s="106" t="s">
        <v>279</v>
      </c>
      <c r="C104" s="639">
        <f t="shared" si="8"/>
        <v>0</v>
      </c>
      <c r="D104" s="38">
        <v>0</v>
      </c>
      <c r="E104" s="105">
        <v>1</v>
      </c>
      <c r="J104" s="94"/>
      <c r="K104" s="95"/>
      <c r="L104" s="95"/>
      <c r="M104" s="95"/>
      <c r="N104" s="91"/>
      <c r="O104" s="96"/>
      <c r="P104" s="96"/>
      <c r="Q104" s="96"/>
      <c r="R104" s="96"/>
      <c r="AK104" s="452"/>
      <c r="AL104" s="69"/>
      <c r="AN104" s="70"/>
      <c r="AO104" s="453"/>
    </row>
    <row r="105" spans="2:66" s="307" customFormat="1" x14ac:dyDescent="0.45">
      <c r="B105" s="106" t="s">
        <v>280</v>
      </c>
      <c r="C105" s="639">
        <f t="shared" si="8"/>
        <v>0</v>
      </c>
      <c r="D105" s="38">
        <v>0</v>
      </c>
      <c r="E105" s="105">
        <v>0</v>
      </c>
      <c r="J105" s="94"/>
      <c r="K105" s="95"/>
      <c r="L105" s="95"/>
      <c r="M105" s="95"/>
      <c r="N105" s="91"/>
      <c r="O105" s="96"/>
      <c r="P105" s="96"/>
      <c r="Q105" s="96"/>
      <c r="R105" s="96"/>
      <c r="AK105" s="452"/>
      <c r="AL105" s="69"/>
      <c r="AN105" s="70"/>
      <c r="AO105" s="453"/>
    </row>
    <row r="106" spans="2:66" s="307" customFormat="1" x14ac:dyDescent="0.45">
      <c r="B106" s="106" t="s">
        <v>280</v>
      </c>
      <c r="C106" s="639">
        <f t="shared" si="8"/>
        <v>0</v>
      </c>
      <c r="D106" s="38">
        <v>0</v>
      </c>
      <c r="E106" s="105">
        <v>0</v>
      </c>
      <c r="J106" s="94"/>
      <c r="K106" s="95"/>
      <c r="L106" s="95"/>
      <c r="M106" s="95"/>
      <c r="N106" s="91"/>
      <c r="O106" s="96"/>
      <c r="P106" s="96"/>
      <c r="Q106" s="96"/>
      <c r="R106" s="96"/>
      <c r="AK106" s="452"/>
      <c r="AL106" s="69"/>
      <c r="AN106" s="70"/>
      <c r="AO106" s="453"/>
    </row>
    <row r="107" spans="2:66" s="307" customFormat="1" x14ac:dyDescent="0.45">
      <c r="B107" s="106" t="s">
        <v>280</v>
      </c>
      <c r="C107" s="639">
        <f t="shared" si="8"/>
        <v>0</v>
      </c>
      <c r="D107" s="38">
        <v>0</v>
      </c>
      <c r="E107" s="105">
        <v>0</v>
      </c>
      <c r="J107" s="94"/>
      <c r="K107" s="95"/>
      <c r="L107" s="95"/>
      <c r="M107" s="95"/>
      <c r="N107" s="91"/>
      <c r="O107" s="96"/>
      <c r="P107" s="96"/>
      <c r="Q107" s="96"/>
      <c r="R107" s="96"/>
      <c r="AK107" s="452"/>
      <c r="AL107" s="69"/>
      <c r="AN107" s="70"/>
      <c r="AO107" s="453"/>
    </row>
    <row r="108" spans="2:66" s="307" customFormat="1" x14ac:dyDescent="0.45">
      <c r="B108" s="106" t="s">
        <v>280</v>
      </c>
      <c r="C108" s="639">
        <f t="shared" si="8"/>
        <v>0</v>
      </c>
      <c r="D108" s="38">
        <v>0</v>
      </c>
      <c r="E108" s="105">
        <v>0</v>
      </c>
      <c r="J108" s="94"/>
      <c r="K108" s="95"/>
      <c r="L108" s="95"/>
      <c r="M108" s="95"/>
      <c r="N108" s="91"/>
      <c r="O108" s="96"/>
      <c r="P108" s="96"/>
      <c r="Q108" s="96"/>
      <c r="R108" s="96"/>
      <c r="AK108" s="452"/>
      <c r="AL108" s="69"/>
      <c r="AN108" s="70"/>
      <c r="AO108" s="453"/>
    </row>
    <row r="109" spans="2:66" s="307" customFormat="1" x14ac:dyDescent="0.45">
      <c r="B109" s="669" t="s">
        <v>281</v>
      </c>
      <c r="C109" s="116">
        <f>SUM(C103:C108)</f>
        <v>1</v>
      </c>
      <c r="D109" s="622">
        <f>SUM(D103:D108)</f>
        <v>4788000</v>
      </c>
      <c r="E109" s="104"/>
      <c r="J109" s="94"/>
      <c r="K109" s="95"/>
      <c r="L109" s="95"/>
      <c r="M109" s="95"/>
      <c r="N109" s="91"/>
      <c r="O109" s="96"/>
      <c r="P109" s="96"/>
      <c r="Q109" s="96"/>
      <c r="R109" s="96"/>
      <c r="AK109" s="452"/>
      <c r="AL109" s="69"/>
      <c r="AN109" s="70"/>
      <c r="AO109" s="453"/>
    </row>
    <row r="110" spans="2:66" s="307" customFormat="1" x14ac:dyDescent="0.45">
      <c r="B110" s="623" t="s">
        <v>389</v>
      </c>
      <c r="C110" s="624">
        <v>0.06</v>
      </c>
      <c r="D110" s="107"/>
      <c r="E110" s="108"/>
      <c r="H110" s="372"/>
      <c r="J110" s="94"/>
      <c r="K110" s="95"/>
      <c r="L110" s="95"/>
      <c r="M110" s="95"/>
      <c r="N110" s="91"/>
      <c r="O110" s="96"/>
      <c r="P110" s="96"/>
      <c r="Q110" s="96"/>
      <c r="R110" s="96"/>
      <c r="AK110" s="452"/>
      <c r="AL110" s="69"/>
      <c r="AN110" s="70"/>
      <c r="AO110" s="453"/>
    </row>
    <row r="111" spans="2:66" s="307" customFormat="1" x14ac:dyDescent="0.45">
      <c r="B111" s="620"/>
      <c r="C111" s="621"/>
      <c r="D111" s="622"/>
      <c r="E111" s="456"/>
      <c r="J111" s="94"/>
      <c r="K111" s="95"/>
      <c r="L111" s="95"/>
      <c r="M111" s="95"/>
      <c r="N111" s="91"/>
      <c r="O111" s="96"/>
      <c r="P111" s="96"/>
      <c r="Q111" s="96"/>
      <c r="R111" s="96"/>
      <c r="AK111" s="452"/>
      <c r="AL111" s="69"/>
      <c r="AN111" s="70"/>
      <c r="AO111" s="453"/>
    </row>
    <row r="112" spans="2:66" s="307" customFormat="1" x14ac:dyDescent="0.45">
      <c r="B112" s="725" t="s">
        <v>396</v>
      </c>
      <c r="C112" s="725"/>
      <c r="D112" s="725"/>
      <c r="E112" s="725"/>
      <c r="F112" s="725"/>
      <c r="G112" s="725"/>
      <c r="H112" s="725"/>
      <c r="I112" s="725"/>
      <c r="J112" s="725"/>
      <c r="K112" s="725"/>
      <c r="L112" s="725"/>
      <c r="M112" s="95"/>
      <c r="N112" s="91"/>
      <c r="O112" s="96"/>
      <c r="P112" s="96"/>
      <c r="Q112" s="96"/>
      <c r="R112" s="96"/>
      <c r="AK112" s="452"/>
      <c r="AL112" s="69"/>
      <c r="AN112" s="70"/>
      <c r="AO112" s="453"/>
    </row>
    <row r="113" spans="2:65" s="307" customFormat="1" x14ac:dyDescent="0.45">
      <c r="B113" s="299"/>
      <c r="C113" s="299"/>
      <c r="D113" s="422"/>
      <c r="E113" s="407"/>
      <c r="F113" s="407"/>
      <c r="G113" s="407"/>
      <c r="H113" s="341"/>
      <c r="I113" s="341"/>
      <c r="J113" s="264"/>
      <c r="K113" s="306"/>
      <c r="L113" s="264"/>
      <c r="M113" s="341"/>
      <c r="N113" s="341"/>
      <c r="O113" s="299"/>
      <c r="P113" s="447"/>
      <c r="Q113" s="341"/>
      <c r="R113" s="341"/>
      <c r="S113" s="341"/>
      <c r="T113" s="341"/>
      <c r="U113" s="341"/>
      <c r="V113" s="341"/>
      <c r="W113" s="341"/>
      <c r="X113" s="341"/>
      <c r="Y113" s="341"/>
      <c r="Z113" s="341"/>
      <c r="AA113" s="341"/>
      <c r="AB113" s="341"/>
      <c r="AC113" s="341"/>
      <c r="AD113" s="341"/>
      <c r="AE113" s="341"/>
      <c r="AF113" s="341"/>
      <c r="AG113" s="341"/>
      <c r="AH113" s="341"/>
      <c r="AI113" s="341"/>
      <c r="AJ113" s="341"/>
      <c r="AK113" s="455"/>
      <c r="AL113" s="456"/>
      <c r="AM113" s="456"/>
      <c r="AN113" s="456"/>
      <c r="AO113" s="456"/>
      <c r="AP113" s="456"/>
      <c r="AQ113" s="456"/>
      <c r="AR113" s="456"/>
      <c r="AS113" s="456"/>
      <c r="AT113" s="456"/>
      <c r="AU113" s="456"/>
      <c r="AV113" s="456"/>
      <c r="AW113" s="456"/>
      <c r="AX113" s="456"/>
      <c r="AY113" s="456"/>
      <c r="AZ113" s="456"/>
      <c r="BA113" s="456"/>
      <c r="BB113" s="456"/>
      <c r="BC113" s="456"/>
      <c r="BD113" s="456"/>
      <c r="BE113" s="456"/>
      <c r="BF113" s="456"/>
      <c r="BG113" s="456"/>
      <c r="BH113" s="456"/>
      <c r="BI113" s="456"/>
      <c r="BJ113" s="456"/>
      <c r="BK113" s="456"/>
      <c r="BL113" s="456"/>
      <c r="BM113" s="456"/>
    </row>
    <row r="114" spans="2:65" s="307" customFormat="1" ht="14.25" customHeight="1" x14ac:dyDescent="0.45">
      <c r="B114" s="611"/>
      <c r="C114" s="612"/>
      <c r="D114" s="612" t="s">
        <v>167</v>
      </c>
      <c r="E114" s="612" t="s">
        <v>282</v>
      </c>
      <c r="F114" s="612">
        <f>'Detailed Feasibility'!$D$48/'Detailed Feasibility'!$D$48</f>
        <v>1</v>
      </c>
      <c r="G114" s="612">
        <f>IF(F114&lt;'Detailed Feasibility'!$D$48,F114+1,"")</f>
        <v>2</v>
      </c>
      <c r="H114" s="612">
        <f>IF(G114&lt;'Detailed Feasibility'!$D$48,G114+1,"")</f>
        <v>3</v>
      </c>
      <c r="I114" s="612">
        <f>IF(H114&lt;'Detailed Feasibility'!$D$48,H114+1,"")</f>
        <v>4</v>
      </c>
      <c r="J114" s="612">
        <f>IF(I114&lt;'Detailed Feasibility'!$D$48,I114+1,"")</f>
        <v>5</v>
      </c>
      <c r="K114" s="612">
        <f>IF(J114&lt;'Detailed Feasibility'!$D$48,J114+1,"")</f>
        <v>6</v>
      </c>
      <c r="L114" s="612">
        <f>IF(K114&lt;'Detailed Feasibility'!$D$48,K114+1,"")</f>
        <v>7</v>
      </c>
      <c r="M114" s="612">
        <f>IF(L114&lt;'Detailed Feasibility'!$D$48,L114+1,"")</f>
        <v>8</v>
      </c>
      <c r="N114" s="612">
        <f>IF(M114&lt;'Detailed Feasibility'!$D$48,M114+1,"")</f>
        <v>9</v>
      </c>
      <c r="O114" s="612">
        <f>IF(N114&lt;'Detailed Feasibility'!$D$48,N114+1,"")</f>
        <v>10</v>
      </c>
      <c r="P114" s="612">
        <f>IF(O114&lt;'Detailed Feasibility'!$D$48,O114+1,"")</f>
        <v>11</v>
      </c>
      <c r="Q114" s="612">
        <f>IF(P114&lt;'Detailed Feasibility'!$D$48,P114+1,"")</f>
        <v>12</v>
      </c>
      <c r="R114" s="612">
        <f>IF(Q114&lt;'Detailed Feasibility'!$D$48,Q114+1,"")</f>
        <v>13</v>
      </c>
      <c r="S114" s="612">
        <f>IF(R114&lt;'Detailed Feasibility'!$D$48,R114+1,"")</f>
        <v>14</v>
      </c>
      <c r="T114" s="612">
        <f>IF(S114&lt;'Detailed Feasibility'!$D$48,S114+1,"")</f>
        <v>15</v>
      </c>
      <c r="U114" s="612">
        <f>IF(T114&lt;'Detailed Feasibility'!$D$48,T114+1,"")</f>
        <v>16</v>
      </c>
      <c r="V114" s="612">
        <f>IF(U114&lt;'Detailed Feasibility'!$D$48,U114+1,"")</f>
        <v>17</v>
      </c>
      <c r="W114" s="612">
        <f>IF(V114&lt;'Detailed Feasibility'!$D$48,V114+1,"")</f>
        <v>18</v>
      </c>
      <c r="X114" s="612">
        <f>IF(W114&lt;'Detailed Feasibility'!$D$48,W114+1,"")</f>
        <v>19</v>
      </c>
      <c r="Y114" s="612">
        <f>IF(X114&lt;'Detailed Feasibility'!$D$48,X114+1,"")</f>
        <v>20</v>
      </c>
      <c r="Z114" s="612">
        <f>IF(Y114&lt;'Detailed Feasibility'!$D$48,Y114+1,"")</f>
        <v>21</v>
      </c>
      <c r="AA114" s="612">
        <f>IF(Z114&lt;'Detailed Feasibility'!$D$48,Z114+1,"")</f>
        <v>22</v>
      </c>
      <c r="AB114" s="612">
        <f>IF(AA114&lt;'Detailed Feasibility'!$D$48,AA114+1,"")</f>
        <v>23</v>
      </c>
      <c r="AC114" s="612">
        <f>IF(AB114&lt;'Detailed Feasibility'!$D$48,AB114+1,"")</f>
        <v>24</v>
      </c>
      <c r="AD114" s="612">
        <f>IF(AC114&lt;'Detailed Feasibility'!$D$48,AC114+1,"")</f>
        <v>25</v>
      </c>
      <c r="AE114" s="612">
        <f>IF(AD114&lt;'Detailed Feasibility'!$D$48,AD114+1,"")</f>
        <v>26</v>
      </c>
      <c r="AF114" s="612">
        <f>IF(AE114&lt;'Detailed Feasibility'!$D$48,AE114+1,"")</f>
        <v>27</v>
      </c>
      <c r="AG114" s="612">
        <f>IF(AF114&lt;'Detailed Feasibility'!$D$48,AF114+1,"")</f>
        <v>28</v>
      </c>
      <c r="AH114" s="612">
        <f>IF(AG114&lt;'Detailed Feasibility'!$D$48,AG114+1,"")</f>
        <v>29</v>
      </c>
      <c r="AI114" s="612">
        <f>IF(AH114&lt;'Detailed Feasibility'!$D$48,AH114+1,"")</f>
        <v>30</v>
      </c>
      <c r="AJ114" s="612">
        <f>IF(AI114&lt;'Detailed Feasibility'!$D$48,AI114+1,"")</f>
        <v>31</v>
      </c>
      <c r="AK114" s="612">
        <f>IF(AJ114&lt;'Detailed Feasibility'!$D$48,AJ114+1,"")</f>
        <v>32</v>
      </c>
      <c r="AL114" s="612">
        <f>IF(AK114&lt;'Detailed Feasibility'!$D$48,AK114+1,"")</f>
        <v>33</v>
      </c>
      <c r="AM114" s="612">
        <f>IF(AL114&lt;'Detailed Feasibility'!$D$48,AL114+1,"")</f>
        <v>34</v>
      </c>
      <c r="AN114" s="612">
        <f>IF(AM114&lt;'Detailed Feasibility'!$D$48,AM114+1,"")</f>
        <v>35</v>
      </c>
      <c r="AO114" s="612">
        <f>IF(AN114&lt;'Detailed Feasibility'!$D$48,AN114+1,"")</f>
        <v>36</v>
      </c>
      <c r="AP114" s="612">
        <f>IF(AO114&lt;'Detailed Feasibility'!$D$48,AO114+1,"")</f>
        <v>37</v>
      </c>
      <c r="AQ114" s="612" t="str">
        <f>IF(AP114&lt;'Detailed Feasibility'!$D$48,AP114+1,"")</f>
        <v/>
      </c>
      <c r="AR114" s="612" t="str">
        <f>IF(AQ114&lt;'Detailed Feasibility'!$D$48,AQ114+1,"")</f>
        <v/>
      </c>
      <c r="AS114" s="612" t="str">
        <f>IF(AR114&lt;'Detailed Feasibility'!$D$48,AR114+1,"")</f>
        <v/>
      </c>
      <c r="AT114" s="612" t="str">
        <f>IF(AS114&lt;'Detailed Feasibility'!$D$48,AS114+1,"")</f>
        <v/>
      </c>
      <c r="AU114" s="612" t="str">
        <f>IF(AT114&lt;'Detailed Feasibility'!$D$48,AT114+1,"")</f>
        <v/>
      </c>
      <c r="AV114" s="612" t="str">
        <f>IF(AU114&lt;'Detailed Feasibility'!$D$48,AU114+1,"")</f>
        <v/>
      </c>
      <c r="AW114" s="612" t="str">
        <f>IF(AV114&lt;'Detailed Feasibility'!$D$48,AV114+1,"")</f>
        <v/>
      </c>
      <c r="AX114" s="612" t="str">
        <f>IF(AW114&lt;'Detailed Feasibility'!$D$48,AW114+1,"")</f>
        <v/>
      </c>
      <c r="AY114" s="612" t="str">
        <f>IF(AX114&lt;'Detailed Feasibility'!$D$48,AX114+1,"")</f>
        <v/>
      </c>
      <c r="AZ114" s="612" t="str">
        <f>IF(AY114&lt;'Detailed Feasibility'!$D$48,AY114+1,"")</f>
        <v/>
      </c>
      <c r="BA114" s="612" t="str">
        <f>IF(AZ114&lt;'Detailed Feasibility'!$D$48,AZ114+1,"")</f>
        <v/>
      </c>
      <c r="BB114" s="612" t="str">
        <f>IF(BA114&lt;'Detailed Feasibility'!$D$48,BA114+1,"")</f>
        <v/>
      </c>
      <c r="BC114" s="612" t="str">
        <f>IF(BB114&lt;'Detailed Feasibility'!$D$48,BB114+1,"")</f>
        <v/>
      </c>
      <c r="BD114" s="612" t="str">
        <f>IF(BC114&lt;'Detailed Feasibility'!$D$48,BC114+1,"")</f>
        <v/>
      </c>
      <c r="BE114" s="612" t="str">
        <f>IF(BD114&lt;'Detailed Feasibility'!$D$48,BD114+1,"")</f>
        <v/>
      </c>
      <c r="BF114" s="612" t="str">
        <f>IF(BE114&lt;'Detailed Feasibility'!$D$48,BE114+1,"")</f>
        <v/>
      </c>
      <c r="BG114" s="612" t="str">
        <f>IF(BF114&lt;'Detailed Feasibility'!$D$48,BF114+1,"")</f>
        <v/>
      </c>
      <c r="BH114" s="612" t="str">
        <f>IF(BG114&lt;'Detailed Feasibility'!$D$48,BG114+1,"")</f>
        <v/>
      </c>
      <c r="BI114" s="612" t="str">
        <f>IF(BH114&lt;'Detailed Feasibility'!$D$48,BH114+1,"")</f>
        <v/>
      </c>
      <c r="BJ114" s="612" t="str">
        <f>IF(BI114&lt;'Detailed Feasibility'!$D$48,BI114+1,"")</f>
        <v/>
      </c>
      <c r="BK114" s="612" t="str">
        <f>IF(BJ114&lt;'Detailed Feasibility'!$D$48,BJ114+1,"")</f>
        <v/>
      </c>
      <c r="BL114" s="612" t="str">
        <f>IF(BK114&lt;'Detailed Feasibility'!$D$48,BK114+1,"")</f>
        <v/>
      </c>
      <c r="BM114" s="613" t="str">
        <f>IF(BL114&lt;'Detailed Feasibility'!$D$48,BL114+1,"")</f>
        <v/>
      </c>
    </row>
    <row r="115" spans="2:65" s="307" customFormat="1" ht="21" customHeight="1" x14ac:dyDescent="0.45">
      <c r="B115" s="614" t="s">
        <v>80</v>
      </c>
      <c r="C115" s="109"/>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c r="AF115" s="110"/>
      <c r="AG115" s="110"/>
      <c r="AH115" s="110"/>
      <c r="AI115" s="110"/>
      <c r="AJ115" s="110"/>
      <c r="AK115" s="110"/>
      <c r="AL115" s="110"/>
      <c r="AM115" s="110"/>
      <c r="AN115" s="110"/>
      <c r="AO115" s="110"/>
      <c r="AP115" s="110"/>
      <c r="AQ115" s="110"/>
      <c r="AR115" s="110"/>
      <c r="AS115" s="110"/>
      <c r="AT115" s="110"/>
      <c r="AU115" s="110"/>
      <c r="AV115" s="110"/>
      <c r="AW115" s="110"/>
      <c r="AX115" s="110"/>
      <c r="AY115" s="110"/>
      <c r="AZ115" s="110"/>
      <c r="BA115" s="110"/>
      <c r="BB115" s="110"/>
      <c r="BC115" s="110"/>
      <c r="BD115" s="110"/>
      <c r="BE115" s="110"/>
      <c r="BF115" s="110"/>
      <c r="BG115" s="110"/>
      <c r="BH115" s="110"/>
      <c r="BI115" s="110"/>
      <c r="BJ115" s="110"/>
      <c r="BK115" s="110"/>
      <c r="BL115" s="110"/>
      <c r="BM115" s="113"/>
    </row>
    <row r="116" spans="2:65" s="307" customFormat="1" x14ac:dyDescent="0.45">
      <c r="B116" s="405" t="s">
        <v>283</v>
      </c>
      <c r="C116" s="261"/>
      <c r="D116" s="262"/>
      <c r="E116" s="262"/>
      <c r="F116" s="262"/>
      <c r="G116" s="649"/>
      <c r="H116" s="262"/>
      <c r="I116" s="262"/>
      <c r="J116" s="262"/>
      <c r="K116" s="262"/>
      <c r="L116" s="262"/>
      <c r="M116" s="262"/>
      <c r="N116" s="262"/>
      <c r="O116" s="262"/>
      <c r="P116" s="262"/>
      <c r="Q116" s="262"/>
      <c r="R116" s="262"/>
      <c r="S116" s="262"/>
      <c r="T116" s="262"/>
      <c r="U116" s="262"/>
      <c r="V116" s="262"/>
      <c r="W116" s="262"/>
      <c r="X116" s="262"/>
      <c r="Y116" s="262"/>
      <c r="Z116" s="262"/>
      <c r="AA116" s="262"/>
      <c r="AB116" s="262"/>
      <c r="AC116" s="262"/>
      <c r="AD116" s="262"/>
      <c r="AE116" s="262"/>
      <c r="AF116" s="262"/>
      <c r="AG116" s="262"/>
      <c r="AH116" s="262"/>
      <c r="AI116" s="262"/>
      <c r="AJ116" s="262"/>
      <c r="AK116" s="262"/>
      <c r="AL116" s="262"/>
      <c r="AM116" s="262"/>
      <c r="AN116" s="262"/>
      <c r="AO116" s="262"/>
      <c r="AP116" s="262"/>
      <c r="AQ116" s="262"/>
      <c r="AR116" s="262"/>
      <c r="AS116" s="262"/>
      <c r="AT116" s="262"/>
      <c r="AU116" s="262"/>
      <c r="AV116" s="262"/>
      <c r="AW116" s="262"/>
      <c r="AX116" s="262"/>
      <c r="AY116" s="262"/>
      <c r="AZ116" s="262"/>
      <c r="BA116" s="262"/>
      <c r="BB116" s="262"/>
      <c r="BC116" s="262"/>
      <c r="BD116" s="262"/>
      <c r="BE116" s="262"/>
      <c r="BF116" s="262"/>
      <c r="BG116" s="262"/>
      <c r="BH116" s="262"/>
      <c r="BI116" s="262"/>
      <c r="BJ116" s="262"/>
      <c r="BK116" s="262"/>
      <c r="BL116" s="262"/>
      <c r="BM116" s="98"/>
    </row>
    <row r="117" spans="2:65" s="307" customFormat="1" x14ac:dyDescent="0.45">
      <c r="B117" s="602" t="str">
        <f t="shared" ref="B117:B122" si="9">B91</f>
        <v>1 Bed</v>
      </c>
      <c r="C117" s="406"/>
      <c r="D117" s="345">
        <f>'Detailed Feasibility Inputs'!L42</f>
        <v>1694000.0000000002</v>
      </c>
      <c r="E117" s="407">
        <f t="shared" ref="E117:E121" si="10">IF(SUM(F117:BM117)=D117,1,0)</f>
        <v>1</v>
      </c>
      <c r="F117" s="408">
        <f>IF(F$114="","",SUMIFS($D$63:$D$82,$C$63:$C$82,'Detailed Feasibility'!$B117,$I$63:$I$82,'Detailed Feasibility'!F$114))</f>
        <v>0</v>
      </c>
      <c r="G117" s="408">
        <f>IF(G$114="","",SUMIFS($D$63:$D$82,$C$63:$C$82,'Detailed Feasibility'!$B117,$I$63:$I$82,'Detailed Feasibility'!G$114))</f>
        <v>0</v>
      </c>
      <c r="H117" s="408">
        <f>IF(H$114="","",SUMIFS($D$63:$D$82,$C$63:$C$82,'Detailed Feasibility'!$B117,$I$63:$I$82,'Detailed Feasibility'!H$114))</f>
        <v>0</v>
      </c>
      <c r="I117" s="408">
        <f>IF(I$114="","",SUMIFS($D$63:$D$82,$C$63:$C$82,'Detailed Feasibility'!$B117,$I$63:$I$82,'Detailed Feasibility'!I$114))</f>
        <v>0</v>
      </c>
      <c r="J117" s="408">
        <f>IF(J$114="","",SUMIFS($D$63:$D$82,$C$63:$C$82,'Detailed Feasibility'!$B117,$I$63:$I$82,'Detailed Feasibility'!J$114))</f>
        <v>0</v>
      </c>
      <c r="K117" s="408">
        <f>IF(K$114="","",SUMIFS($D$63:$D$82,$C$63:$C$82,'Detailed Feasibility'!$B117,$I$63:$I$82,'Detailed Feasibility'!K$114))</f>
        <v>0</v>
      </c>
      <c r="L117" s="408">
        <f>IF(L$114="","",SUMIFS($D$63:$D$82,$C$63:$C$82,'Detailed Feasibility'!$B117,$I$63:$I$82,'Detailed Feasibility'!L$114))</f>
        <v>0</v>
      </c>
      <c r="M117" s="408">
        <f>IF(M$114="","",SUMIFS($D$63:$D$82,$C$63:$C$82,'Detailed Feasibility'!$B117,$I$63:$I$82,'Detailed Feasibility'!M$114))</f>
        <v>0</v>
      </c>
      <c r="N117" s="408">
        <f>IF(N$114="","",SUMIFS($D$63:$D$82,$C$63:$C$82,'Detailed Feasibility'!$B117,$I$63:$I$82,'Detailed Feasibility'!N$114))</f>
        <v>0</v>
      </c>
      <c r="O117" s="408">
        <f>IF(O$114="","",SUMIFS($D$63:$D$82,$C$63:$C$82,'Detailed Feasibility'!$B117,$I$63:$I$82,'Detailed Feasibility'!O$114))</f>
        <v>0</v>
      </c>
      <c r="P117" s="408">
        <f>IF(P$114="","",SUMIFS($D$63:$D$82,$C$63:$C$82,'Detailed Feasibility'!$B117,$I$63:$I$82,'Detailed Feasibility'!P$114))</f>
        <v>0</v>
      </c>
      <c r="Q117" s="408">
        <f>IF(Q$114="","",SUMIFS($D$63:$D$82,$C$63:$C$82,'Detailed Feasibility'!$B117,$I$63:$I$82,'Detailed Feasibility'!Q$114))</f>
        <v>0</v>
      </c>
      <c r="R117" s="408">
        <f>IF(R$114="","",SUMIFS($D$63:$D$82,$C$63:$C$82,'Detailed Feasibility'!$B117,$I$63:$I$82,'Detailed Feasibility'!R$114))</f>
        <v>0</v>
      </c>
      <c r="S117" s="408">
        <f>IF(S$114="","",SUMIFS($D$63:$D$82,$C$63:$C$82,'Detailed Feasibility'!$B117,$I$63:$I$82,'Detailed Feasibility'!S$114))</f>
        <v>0</v>
      </c>
      <c r="T117" s="408">
        <f>IF(T$114="","",SUMIFS($D$63:$D$82,$C$63:$C$82,'Detailed Feasibility'!$B117,$I$63:$I$82,'Detailed Feasibility'!T$114))</f>
        <v>0</v>
      </c>
      <c r="U117" s="408">
        <f>IF(U$114="","",SUMIFS($D$63:$D$82,$C$63:$C$82,'Detailed Feasibility'!$B117,$I$63:$I$82,'Detailed Feasibility'!U$114))</f>
        <v>0</v>
      </c>
      <c r="V117" s="408">
        <f>IF(V$114="","",SUMIFS($D$63:$D$82,$C$63:$C$82,'Detailed Feasibility'!$B117,$I$63:$I$82,'Detailed Feasibility'!V$114))</f>
        <v>0</v>
      </c>
      <c r="W117" s="408">
        <f>IF(W$114="","",SUMIFS($D$63:$D$82,$C$63:$C$82,'Detailed Feasibility'!$B117,$I$63:$I$82,'Detailed Feasibility'!W$114))</f>
        <v>0</v>
      </c>
      <c r="X117" s="408">
        <f>IF(X$114="","",SUMIFS($D$63:$D$82,$C$63:$C$82,'Detailed Feasibility'!$B117,$I$63:$I$82,'Detailed Feasibility'!X$114))</f>
        <v>1694000.0000000002</v>
      </c>
      <c r="Y117" s="408">
        <f>IF(Y$114="","",SUMIFS($D$63:$D$82,$C$63:$C$82,'Detailed Feasibility'!$B117,$I$63:$I$82,'Detailed Feasibility'!Y$114))</f>
        <v>0</v>
      </c>
      <c r="Z117" s="408">
        <f>IF(Z$114="","",SUMIFS($D$63:$D$82,$C$63:$C$82,'Detailed Feasibility'!$B117,$I$63:$I$82,'Detailed Feasibility'!Z$114))</f>
        <v>0</v>
      </c>
      <c r="AA117" s="408">
        <f>IF(AA$114="","",SUMIFS($D$63:$D$82,$C$63:$C$82,'Detailed Feasibility'!$B117,$I$63:$I$82,'Detailed Feasibility'!AA$114))</f>
        <v>0</v>
      </c>
      <c r="AB117" s="408">
        <f>IF(AB$114="","",SUMIFS($D$63:$D$82,$C$63:$C$82,'Detailed Feasibility'!$B117,$I$63:$I$82,'Detailed Feasibility'!AB$114))</f>
        <v>0</v>
      </c>
      <c r="AC117" s="408">
        <f>IF(AC$114="","",SUMIFS($D$63:$D$82,$C$63:$C$82,'Detailed Feasibility'!$B117,$I$63:$I$82,'Detailed Feasibility'!AC$114))</f>
        <v>0</v>
      </c>
      <c r="AD117" s="408">
        <f>IF(AD$114="","",SUMIFS($D$63:$D$82,$C$63:$C$82,'Detailed Feasibility'!$B117,$I$63:$I$82,'Detailed Feasibility'!AD$114))</f>
        <v>0</v>
      </c>
      <c r="AE117" s="408">
        <f>IF(AE$114="","",SUMIFS($D$63:$D$82,$C$63:$C$82,'Detailed Feasibility'!$B117,$I$63:$I$82,'Detailed Feasibility'!AE$114))</f>
        <v>0</v>
      </c>
      <c r="AF117" s="408">
        <f>IF(AF$114="","",SUMIFS($D$63:$D$82,$C$63:$C$82,'Detailed Feasibility'!$B117,$I$63:$I$82,'Detailed Feasibility'!AF$114))</f>
        <v>0</v>
      </c>
      <c r="AG117" s="408">
        <f>IF(AG$114="","",SUMIFS($D$63:$D$82,$C$63:$C$82,'Detailed Feasibility'!$B117,$I$63:$I$82,'Detailed Feasibility'!AG$114))</f>
        <v>0</v>
      </c>
      <c r="AH117" s="408">
        <f>IF(AH$114="","",SUMIFS($D$63:$D$82,$C$63:$C$82,'Detailed Feasibility'!$B117,$I$63:$I$82,'Detailed Feasibility'!AH$114))</f>
        <v>0</v>
      </c>
      <c r="AI117" s="408">
        <f>IF(AI$114="","",SUMIFS($D$63:$D$82,$C$63:$C$82,'Detailed Feasibility'!$B117,$I$63:$I$82,'Detailed Feasibility'!AI$114))</f>
        <v>0</v>
      </c>
      <c r="AJ117" s="408">
        <f>IF(AJ$114="","",SUMIFS($D$63:$D$82,$C$63:$C$82,'Detailed Feasibility'!$B117,$I$63:$I$82,'Detailed Feasibility'!AJ$114))</f>
        <v>0</v>
      </c>
      <c r="AK117" s="408">
        <f>IF(AK$114="","",SUMIFS($D$63:$D$82,$C$63:$C$82,'Detailed Feasibility'!$B117,$I$63:$I$82,'Detailed Feasibility'!AK$114))</f>
        <v>0</v>
      </c>
      <c r="AL117" s="408">
        <f>IF(AL$114="","",SUMIFS($D$63:$D$82,$C$63:$C$82,'Detailed Feasibility'!$B117,$I$63:$I$82,'Detailed Feasibility'!AL$114))</f>
        <v>0</v>
      </c>
      <c r="AM117" s="408">
        <f>IF(AM$114="","",SUMIFS($D$63:$D$82,$C$63:$C$82,'Detailed Feasibility'!$B117,$I$63:$I$82,'Detailed Feasibility'!AM$114))</f>
        <v>0</v>
      </c>
      <c r="AN117" s="408">
        <f>IF(AN$114="","",SUMIFS($D$63:$D$82,$C$63:$C$82,'Detailed Feasibility'!$B117,$I$63:$I$82,'Detailed Feasibility'!AN$114))</f>
        <v>0</v>
      </c>
      <c r="AO117" s="408">
        <f>IF(AO$114="","",SUMIFS($D$63:$D$82,$C$63:$C$82,'Detailed Feasibility'!$B117,$I$63:$I$82,'Detailed Feasibility'!AO$114))</f>
        <v>0</v>
      </c>
      <c r="AP117" s="408">
        <f>IF(AP$114="","",SUMIFS($D$63:$D$82,$C$63:$C$82,'Detailed Feasibility'!$B117,$I$63:$I$82,'Detailed Feasibility'!AP$114))</f>
        <v>0</v>
      </c>
      <c r="AQ117" s="408" t="str">
        <f>IF(AQ$114="","",SUMIFS($D$63:$D$82,$C$63:$C$82,'Detailed Feasibility'!$B117,$I$63:$I$82,'Detailed Feasibility'!AQ$114))</f>
        <v/>
      </c>
      <c r="AR117" s="408" t="str">
        <f>IF(AR$114="","",SUMIFS($D$63:$D$82,$C$63:$C$82,'Detailed Feasibility'!$B117,$I$63:$I$82,'Detailed Feasibility'!AR$114))</f>
        <v/>
      </c>
      <c r="AS117" s="408" t="str">
        <f>IF(AS$114="","",SUMIFS($D$63:$D$82,$C$63:$C$82,'Detailed Feasibility'!$B117,$I$63:$I$82,'Detailed Feasibility'!AS$114))</f>
        <v/>
      </c>
      <c r="AT117" s="408" t="str">
        <f>IF(AT$114="","",SUMIFS($D$63:$D$82,$C$63:$C$82,'Detailed Feasibility'!$B117,$I$63:$I$82,'Detailed Feasibility'!AT$114))</f>
        <v/>
      </c>
      <c r="AU117" s="408" t="str">
        <f>IF(AU$114="","",SUMIFS($D$63:$D$82,$C$63:$C$82,'Detailed Feasibility'!$B117,$I$63:$I$82,'Detailed Feasibility'!AU$114))</f>
        <v/>
      </c>
      <c r="AV117" s="408" t="str">
        <f>IF(AV$114="","",SUMIFS($D$63:$D$82,$C$63:$C$82,'Detailed Feasibility'!$B117,$I$63:$I$82,'Detailed Feasibility'!AV$114))</f>
        <v/>
      </c>
      <c r="AW117" s="408" t="str">
        <f>IF(AW$114="","",SUMIFS($D$63:$D$82,$C$63:$C$82,'Detailed Feasibility'!$B117,$I$63:$I$82,'Detailed Feasibility'!AW$114))</f>
        <v/>
      </c>
      <c r="AX117" s="408" t="str">
        <f>IF(AX$114="","",SUMIFS($D$63:$D$82,$C$63:$C$82,'Detailed Feasibility'!$B117,$I$63:$I$82,'Detailed Feasibility'!AX$114))</f>
        <v/>
      </c>
      <c r="AY117" s="408" t="str">
        <f>IF(AY$114="","",SUMIFS($D$63:$D$82,$C$63:$C$82,'Detailed Feasibility'!$B117,$I$63:$I$82,'Detailed Feasibility'!AY$114))</f>
        <v/>
      </c>
      <c r="AZ117" s="408" t="str">
        <f>IF(AZ$114="","",SUMIFS($D$63:$D$82,$C$63:$C$82,'Detailed Feasibility'!$B117,$I$63:$I$82,'Detailed Feasibility'!AZ$114))</f>
        <v/>
      </c>
      <c r="BA117" s="408" t="str">
        <f>IF(BA$114="","",SUMIFS($D$63:$D$82,$C$63:$C$82,'Detailed Feasibility'!$B117,$I$63:$I$82,'Detailed Feasibility'!BA$114))</f>
        <v/>
      </c>
      <c r="BB117" s="408" t="str">
        <f>IF(BB$114="","",SUMIFS($D$63:$D$82,$C$63:$C$82,'Detailed Feasibility'!$B117,$I$63:$I$82,'Detailed Feasibility'!BB$114))</f>
        <v/>
      </c>
      <c r="BC117" s="408" t="str">
        <f>IF(BC$114="","",SUMIFS($D$63:$D$82,$C$63:$C$82,'Detailed Feasibility'!$B117,$I$63:$I$82,'Detailed Feasibility'!BC$114))</f>
        <v/>
      </c>
      <c r="BD117" s="408" t="str">
        <f>IF(BD$114="","",SUMIFS($D$63:$D$82,$C$63:$C$82,'Detailed Feasibility'!$B117,$I$63:$I$82,'Detailed Feasibility'!BD$114))</f>
        <v/>
      </c>
      <c r="BE117" s="408" t="str">
        <f>IF(BE$114="","",SUMIFS($D$63:$D$82,$C$63:$C$82,'Detailed Feasibility'!$B117,$I$63:$I$82,'Detailed Feasibility'!BE$114))</f>
        <v/>
      </c>
      <c r="BF117" s="408" t="str">
        <f>IF(BF$114="","",SUMIFS($D$63:$D$82,$C$63:$C$82,'Detailed Feasibility'!$B117,$I$63:$I$82,'Detailed Feasibility'!BF$114))</f>
        <v/>
      </c>
      <c r="BG117" s="408" t="str">
        <f>IF(BG$114="","",SUMIFS($D$63:$D$82,$C$63:$C$82,'Detailed Feasibility'!$B117,$I$63:$I$82,'Detailed Feasibility'!BG$114))</f>
        <v/>
      </c>
      <c r="BH117" s="408" t="str">
        <f>IF(BH$114="","",SUMIFS($D$63:$D$82,$C$63:$C$82,'Detailed Feasibility'!$B117,$I$63:$I$82,'Detailed Feasibility'!BH$114))</f>
        <v/>
      </c>
      <c r="BI117" s="408" t="str">
        <f>IF(BI$114="","",SUMIFS($D$63:$D$82,$C$63:$C$82,'Detailed Feasibility'!$B117,$I$63:$I$82,'Detailed Feasibility'!BI$114))</f>
        <v/>
      </c>
      <c r="BJ117" s="408" t="str">
        <f>IF(BJ$114="","",SUMIFS($D$63:$D$82,$C$63:$C$82,'Detailed Feasibility'!$B117,$I$63:$I$82,'Detailed Feasibility'!BJ$114))</f>
        <v/>
      </c>
      <c r="BK117" s="408" t="str">
        <f>IF(BK$114="","",SUMIFS($D$63:$D$82,$C$63:$C$82,'Detailed Feasibility'!$B117,$I$63:$I$82,'Detailed Feasibility'!BK$114))</f>
        <v/>
      </c>
      <c r="BL117" s="408" t="str">
        <f>IF(BL$114="","",SUMIFS($D$63:$D$82,$C$63:$C$82,'Detailed Feasibility'!$B117,$I$63:$I$82,'Detailed Feasibility'!BL$114))</f>
        <v/>
      </c>
      <c r="BM117" s="409" t="str">
        <f>IF(BM$114="","",SUMIFS($D$63:$D$82,$C$63:$C$82,'Detailed Feasibility'!$B117,$I$63:$I$82,'Detailed Feasibility'!BM$114))</f>
        <v/>
      </c>
    </row>
    <row r="118" spans="2:65" s="307" customFormat="1" x14ac:dyDescent="0.45">
      <c r="B118" s="602" t="str">
        <f t="shared" si="9"/>
        <v>2 Bed</v>
      </c>
      <c r="C118" s="406"/>
      <c r="D118" s="345">
        <f>'Detailed Feasibility Inputs'!L43</f>
        <v>1155000</v>
      </c>
      <c r="E118" s="407">
        <f t="shared" si="10"/>
        <v>1</v>
      </c>
      <c r="F118" s="408">
        <f>IF(F$114="","",SUMIFS($D$63:$D$82,$C$63:$C$82,'Detailed Feasibility'!$B118,$I$63:$I$82,'Detailed Feasibility'!F$114))</f>
        <v>0</v>
      </c>
      <c r="G118" s="408">
        <f>IF(G$114="","",SUMIFS($D$63:$D$82,$C$63:$C$82,'Detailed Feasibility'!$B118,$I$63:$I$82,'Detailed Feasibility'!G$114))</f>
        <v>0</v>
      </c>
      <c r="H118" s="408">
        <f>IF(H$114="","",SUMIFS($D$63:$D$82,$C$63:$C$82,'Detailed Feasibility'!$B118,$I$63:$I$82,'Detailed Feasibility'!H$114))</f>
        <v>0</v>
      </c>
      <c r="I118" s="408">
        <f>IF(I$114="","",SUMIFS($D$63:$D$82,$C$63:$C$82,'Detailed Feasibility'!$B118,$I$63:$I$82,'Detailed Feasibility'!I$114))</f>
        <v>0</v>
      </c>
      <c r="J118" s="408">
        <f>IF(J$114="","",SUMIFS($D$63:$D$82,$C$63:$C$82,'Detailed Feasibility'!$B118,$I$63:$I$82,'Detailed Feasibility'!J$114))</f>
        <v>0</v>
      </c>
      <c r="K118" s="408">
        <f>IF(K$114="","",SUMIFS($D$63:$D$82,$C$63:$C$82,'Detailed Feasibility'!$B118,$I$63:$I$82,'Detailed Feasibility'!K$114))</f>
        <v>0</v>
      </c>
      <c r="L118" s="408">
        <f>IF(L$114="","",SUMIFS($D$63:$D$82,$C$63:$C$82,'Detailed Feasibility'!$B118,$I$63:$I$82,'Detailed Feasibility'!L$114))</f>
        <v>0</v>
      </c>
      <c r="M118" s="408">
        <f>IF(M$114="","",SUMIFS($D$63:$D$82,$C$63:$C$82,'Detailed Feasibility'!$B118,$I$63:$I$82,'Detailed Feasibility'!M$114))</f>
        <v>0</v>
      </c>
      <c r="N118" s="408">
        <f>IF(N$114="","",SUMIFS($D$63:$D$82,$C$63:$C$82,'Detailed Feasibility'!$B118,$I$63:$I$82,'Detailed Feasibility'!N$114))</f>
        <v>0</v>
      </c>
      <c r="O118" s="408">
        <f>IF(O$114="","",SUMIFS($D$63:$D$82,$C$63:$C$82,'Detailed Feasibility'!$B118,$I$63:$I$82,'Detailed Feasibility'!O$114))</f>
        <v>0</v>
      </c>
      <c r="P118" s="408">
        <f>IF(P$114="","",SUMIFS($D$63:$D$82,$C$63:$C$82,'Detailed Feasibility'!$B118,$I$63:$I$82,'Detailed Feasibility'!P$114))</f>
        <v>0</v>
      </c>
      <c r="Q118" s="408">
        <f>IF(Q$114="","",SUMIFS($D$63:$D$82,$C$63:$C$82,'Detailed Feasibility'!$B118,$I$63:$I$82,'Detailed Feasibility'!Q$114))</f>
        <v>0</v>
      </c>
      <c r="R118" s="408">
        <f>IF(R$114="","",SUMIFS($D$63:$D$82,$C$63:$C$82,'Detailed Feasibility'!$B118,$I$63:$I$82,'Detailed Feasibility'!R$114))</f>
        <v>0</v>
      </c>
      <c r="S118" s="408">
        <f>IF(S$114="","",SUMIFS($D$63:$D$82,$C$63:$C$82,'Detailed Feasibility'!$B118,$I$63:$I$82,'Detailed Feasibility'!S$114))</f>
        <v>0</v>
      </c>
      <c r="T118" s="408">
        <f>IF(T$114="","",SUMIFS($D$63:$D$82,$C$63:$C$82,'Detailed Feasibility'!$B118,$I$63:$I$82,'Detailed Feasibility'!T$114))</f>
        <v>0</v>
      </c>
      <c r="U118" s="408">
        <f>IF(U$114="","",SUMIFS($D$63:$D$82,$C$63:$C$82,'Detailed Feasibility'!$B118,$I$63:$I$82,'Detailed Feasibility'!U$114))</f>
        <v>0</v>
      </c>
      <c r="V118" s="408">
        <f>IF(V$114="","",SUMIFS($D$63:$D$82,$C$63:$C$82,'Detailed Feasibility'!$B118,$I$63:$I$82,'Detailed Feasibility'!V$114))</f>
        <v>0</v>
      </c>
      <c r="W118" s="408">
        <f>IF(W$114="","",SUMIFS($D$63:$D$82,$C$63:$C$82,'Detailed Feasibility'!$B118,$I$63:$I$82,'Detailed Feasibility'!W$114))</f>
        <v>0</v>
      </c>
      <c r="X118" s="408">
        <f>IF(X$114="","",SUMIFS($D$63:$D$82,$C$63:$C$82,'Detailed Feasibility'!$B118,$I$63:$I$82,'Detailed Feasibility'!X$114))</f>
        <v>0</v>
      </c>
      <c r="Y118" s="408">
        <f>IF(Y$114="","",SUMIFS($D$63:$D$82,$C$63:$C$82,'Detailed Feasibility'!$B118,$I$63:$I$82,'Detailed Feasibility'!Y$114))</f>
        <v>0</v>
      </c>
      <c r="Z118" s="408">
        <f>IF(Z$114="","",SUMIFS($D$63:$D$82,$C$63:$C$82,'Detailed Feasibility'!$B118,$I$63:$I$82,'Detailed Feasibility'!Z$114))</f>
        <v>0</v>
      </c>
      <c r="AA118" s="408">
        <f>IF(AA$114="","",SUMIFS($D$63:$D$82,$C$63:$C$82,'Detailed Feasibility'!$B118,$I$63:$I$82,'Detailed Feasibility'!AA$114))</f>
        <v>0</v>
      </c>
      <c r="AB118" s="408">
        <f>IF(AB$114="","",SUMIFS($D$63:$D$82,$C$63:$C$82,'Detailed Feasibility'!$B118,$I$63:$I$82,'Detailed Feasibility'!AB$114))</f>
        <v>0</v>
      </c>
      <c r="AC118" s="408">
        <f>IF(AC$114="","",SUMIFS($D$63:$D$82,$C$63:$C$82,'Detailed Feasibility'!$B118,$I$63:$I$82,'Detailed Feasibility'!AC$114))</f>
        <v>0</v>
      </c>
      <c r="AD118" s="408">
        <f>IF(AD$114="","",SUMIFS($D$63:$D$82,$C$63:$C$82,'Detailed Feasibility'!$B118,$I$63:$I$82,'Detailed Feasibility'!AD$114))</f>
        <v>0</v>
      </c>
      <c r="AE118" s="408">
        <f>IF(AE$114="","",SUMIFS($D$63:$D$82,$C$63:$C$82,'Detailed Feasibility'!$B118,$I$63:$I$82,'Detailed Feasibility'!AE$114))</f>
        <v>1155000</v>
      </c>
      <c r="AF118" s="408">
        <f>IF(AF$114="","",SUMIFS($D$63:$D$82,$C$63:$C$82,'Detailed Feasibility'!$B118,$I$63:$I$82,'Detailed Feasibility'!AF$114))</f>
        <v>0</v>
      </c>
      <c r="AG118" s="408">
        <f>IF(AG$114="","",SUMIFS($D$63:$D$82,$C$63:$C$82,'Detailed Feasibility'!$B118,$I$63:$I$82,'Detailed Feasibility'!AG$114))</f>
        <v>0</v>
      </c>
      <c r="AH118" s="408">
        <f>IF(AH$114="","",SUMIFS($D$63:$D$82,$C$63:$C$82,'Detailed Feasibility'!$B118,$I$63:$I$82,'Detailed Feasibility'!AH$114))</f>
        <v>0</v>
      </c>
      <c r="AI118" s="408">
        <f>IF(AI$114="","",SUMIFS($D$63:$D$82,$C$63:$C$82,'Detailed Feasibility'!$B118,$I$63:$I$82,'Detailed Feasibility'!AI$114))</f>
        <v>0</v>
      </c>
      <c r="AJ118" s="408">
        <f>IF(AJ$114="","",SUMIFS($D$63:$D$82,$C$63:$C$82,'Detailed Feasibility'!$B118,$I$63:$I$82,'Detailed Feasibility'!AJ$114))</f>
        <v>0</v>
      </c>
      <c r="AK118" s="408">
        <f>IF(AK$114="","",SUMIFS($D$63:$D$82,$C$63:$C$82,'Detailed Feasibility'!$B118,$I$63:$I$82,'Detailed Feasibility'!AK$114))</f>
        <v>0</v>
      </c>
      <c r="AL118" s="408">
        <f>IF(AL$114="","",SUMIFS($D$63:$D$82,$C$63:$C$82,'Detailed Feasibility'!$B118,$I$63:$I$82,'Detailed Feasibility'!AL$114))</f>
        <v>0</v>
      </c>
      <c r="AM118" s="408">
        <f>IF(AM$114="","",SUMIFS($D$63:$D$82,$C$63:$C$82,'Detailed Feasibility'!$B118,$I$63:$I$82,'Detailed Feasibility'!AM$114))</f>
        <v>0</v>
      </c>
      <c r="AN118" s="408">
        <f>IF(AN$114="","",SUMIFS($D$63:$D$82,$C$63:$C$82,'Detailed Feasibility'!$B118,$I$63:$I$82,'Detailed Feasibility'!AN$114))</f>
        <v>0</v>
      </c>
      <c r="AO118" s="408">
        <f>IF(AO$114="","",SUMIFS($D$63:$D$82,$C$63:$C$82,'Detailed Feasibility'!$B118,$I$63:$I$82,'Detailed Feasibility'!AO$114))</f>
        <v>0</v>
      </c>
      <c r="AP118" s="408">
        <f>IF(AP$114="","",SUMIFS($D$63:$D$82,$C$63:$C$82,'Detailed Feasibility'!$B118,$I$63:$I$82,'Detailed Feasibility'!AP$114))</f>
        <v>0</v>
      </c>
      <c r="AQ118" s="408" t="str">
        <f>IF(AQ$114="","",SUMIFS($D$63:$D$82,$C$63:$C$82,'Detailed Feasibility'!$B118,$I$63:$I$82,'Detailed Feasibility'!AQ$114))</f>
        <v/>
      </c>
      <c r="AR118" s="408" t="str">
        <f>IF(AR$114="","",SUMIFS($D$63:$D$82,$C$63:$C$82,'Detailed Feasibility'!$B118,$I$63:$I$82,'Detailed Feasibility'!AR$114))</f>
        <v/>
      </c>
      <c r="AS118" s="408" t="str">
        <f>IF(AS$114="","",SUMIFS($D$63:$D$82,$C$63:$C$82,'Detailed Feasibility'!$B118,$I$63:$I$82,'Detailed Feasibility'!AS$114))</f>
        <v/>
      </c>
      <c r="AT118" s="408" t="str">
        <f>IF(AT$114="","",SUMIFS($D$63:$D$82,$C$63:$C$82,'Detailed Feasibility'!$B118,$I$63:$I$82,'Detailed Feasibility'!AT$114))</f>
        <v/>
      </c>
      <c r="AU118" s="408" t="str">
        <f>IF(AU$114="","",SUMIFS($D$63:$D$82,$C$63:$C$82,'Detailed Feasibility'!$B118,$I$63:$I$82,'Detailed Feasibility'!AU$114))</f>
        <v/>
      </c>
      <c r="AV118" s="408" t="str">
        <f>IF(AV$114="","",SUMIFS($D$63:$D$82,$C$63:$C$82,'Detailed Feasibility'!$B118,$I$63:$I$82,'Detailed Feasibility'!AV$114))</f>
        <v/>
      </c>
      <c r="AW118" s="408" t="str">
        <f>IF(AW$114="","",SUMIFS($D$63:$D$82,$C$63:$C$82,'Detailed Feasibility'!$B118,$I$63:$I$82,'Detailed Feasibility'!AW$114))</f>
        <v/>
      </c>
      <c r="AX118" s="408" t="str">
        <f>IF(AX$114="","",SUMIFS($D$63:$D$82,$C$63:$C$82,'Detailed Feasibility'!$B118,$I$63:$I$82,'Detailed Feasibility'!AX$114))</f>
        <v/>
      </c>
      <c r="AY118" s="408" t="str">
        <f>IF(AY$114="","",SUMIFS($D$63:$D$82,$C$63:$C$82,'Detailed Feasibility'!$B118,$I$63:$I$82,'Detailed Feasibility'!AY$114))</f>
        <v/>
      </c>
      <c r="AZ118" s="408" t="str">
        <f>IF(AZ$114="","",SUMIFS($D$63:$D$82,$C$63:$C$82,'Detailed Feasibility'!$B118,$I$63:$I$82,'Detailed Feasibility'!AZ$114))</f>
        <v/>
      </c>
      <c r="BA118" s="408" t="str">
        <f>IF(BA$114="","",SUMIFS($D$63:$D$82,$C$63:$C$82,'Detailed Feasibility'!$B118,$I$63:$I$82,'Detailed Feasibility'!BA$114))</f>
        <v/>
      </c>
      <c r="BB118" s="408" t="str">
        <f>IF(BB$114="","",SUMIFS($D$63:$D$82,$C$63:$C$82,'Detailed Feasibility'!$B118,$I$63:$I$82,'Detailed Feasibility'!BB$114))</f>
        <v/>
      </c>
      <c r="BC118" s="408" t="str">
        <f>IF(BC$114="","",SUMIFS($D$63:$D$82,$C$63:$C$82,'Detailed Feasibility'!$B118,$I$63:$I$82,'Detailed Feasibility'!BC$114))</f>
        <v/>
      </c>
      <c r="BD118" s="408" t="str">
        <f>IF(BD$114="","",SUMIFS($D$63:$D$82,$C$63:$C$82,'Detailed Feasibility'!$B118,$I$63:$I$82,'Detailed Feasibility'!BD$114))</f>
        <v/>
      </c>
      <c r="BE118" s="408" t="str">
        <f>IF(BE$114="","",SUMIFS($D$63:$D$82,$C$63:$C$82,'Detailed Feasibility'!$B118,$I$63:$I$82,'Detailed Feasibility'!BE$114))</f>
        <v/>
      </c>
      <c r="BF118" s="408" t="str">
        <f>IF(BF$114="","",SUMIFS($D$63:$D$82,$C$63:$C$82,'Detailed Feasibility'!$B118,$I$63:$I$82,'Detailed Feasibility'!BF$114))</f>
        <v/>
      </c>
      <c r="BG118" s="408" t="str">
        <f>IF(BG$114="","",SUMIFS($D$63:$D$82,$C$63:$C$82,'Detailed Feasibility'!$B118,$I$63:$I$82,'Detailed Feasibility'!BG$114))</f>
        <v/>
      </c>
      <c r="BH118" s="408" t="str">
        <f>IF(BH$114="","",SUMIFS($D$63:$D$82,$C$63:$C$82,'Detailed Feasibility'!$B118,$I$63:$I$82,'Detailed Feasibility'!BH$114))</f>
        <v/>
      </c>
      <c r="BI118" s="408" t="str">
        <f>IF(BI$114="","",SUMIFS($D$63:$D$82,$C$63:$C$82,'Detailed Feasibility'!$B118,$I$63:$I$82,'Detailed Feasibility'!BI$114))</f>
        <v/>
      </c>
      <c r="BJ118" s="408" t="str">
        <f>IF(BJ$114="","",SUMIFS($D$63:$D$82,$C$63:$C$82,'Detailed Feasibility'!$B118,$I$63:$I$82,'Detailed Feasibility'!BJ$114))</f>
        <v/>
      </c>
      <c r="BK118" s="408" t="str">
        <f>IF(BK$114="","",SUMIFS($D$63:$D$82,$C$63:$C$82,'Detailed Feasibility'!$B118,$I$63:$I$82,'Detailed Feasibility'!BK$114))</f>
        <v/>
      </c>
      <c r="BL118" s="408" t="str">
        <f>IF(BL$114="","",SUMIFS($D$63:$D$82,$C$63:$C$82,'Detailed Feasibility'!$B118,$I$63:$I$82,'Detailed Feasibility'!BL$114))</f>
        <v/>
      </c>
      <c r="BM118" s="409" t="str">
        <f>IF(BM$114="","",SUMIFS($D$63:$D$82,$C$63:$C$82,'Detailed Feasibility'!$B118,$I$63:$I$82,'Detailed Feasibility'!BM$114))</f>
        <v/>
      </c>
    </row>
    <row r="119" spans="2:65" s="307" customFormat="1" x14ac:dyDescent="0.45">
      <c r="B119" s="602" t="str">
        <f t="shared" si="9"/>
        <v>3 Bed</v>
      </c>
      <c r="C119" s="406"/>
      <c r="D119" s="345">
        <f>'Detailed Feasibility Inputs'!L44</f>
        <v>616000</v>
      </c>
      <c r="E119" s="407">
        <f t="shared" si="10"/>
        <v>1</v>
      </c>
      <c r="F119" s="408">
        <f>IF(F$114="","",SUMIFS($D$63:$D$82,$C$63:$C$82,'Detailed Feasibility'!$B119,$I$63:$I$82,'Detailed Feasibility'!F$114))</f>
        <v>0</v>
      </c>
      <c r="G119" s="408">
        <f>IF(G$114="","",SUMIFS($D$63:$D$82,$C$63:$C$82,'Detailed Feasibility'!$B119,$I$63:$I$82,'Detailed Feasibility'!G$114))</f>
        <v>0</v>
      </c>
      <c r="H119" s="408">
        <f>IF(H$114="","",SUMIFS($D$63:$D$82,$C$63:$C$82,'Detailed Feasibility'!$B119,$I$63:$I$82,'Detailed Feasibility'!H$114))</f>
        <v>0</v>
      </c>
      <c r="I119" s="408">
        <f>IF(I$114="","",SUMIFS($D$63:$D$82,$C$63:$C$82,'Detailed Feasibility'!$B119,$I$63:$I$82,'Detailed Feasibility'!I$114))</f>
        <v>0</v>
      </c>
      <c r="J119" s="408">
        <f>IF(J$114="","",SUMIFS($D$63:$D$82,$C$63:$C$82,'Detailed Feasibility'!$B119,$I$63:$I$82,'Detailed Feasibility'!J$114))</f>
        <v>0</v>
      </c>
      <c r="K119" s="408">
        <f>IF(K$114="","",SUMIFS($D$63:$D$82,$C$63:$C$82,'Detailed Feasibility'!$B119,$I$63:$I$82,'Detailed Feasibility'!K$114))</f>
        <v>0</v>
      </c>
      <c r="L119" s="408">
        <f>IF(L$114="","",SUMIFS($D$63:$D$82,$C$63:$C$82,'Detailed Feasibility'!$B119,$I$63:$I$82,'Detailed Feasibility'!L$114))</f>
        <v>0</v>
      </c>
      <c r="M119" s="408">
        <f>IF(M$114="","",SUMIFS($D$63:$D$82,$C$63:$C$82,'Detailed Feasibility'!$B119,$I$63:$I$82,'Detailed Feasibility'!M$114))</f>
        <v>0</v>
      </c>
      <c r="N119" s="408">
        <f>IF(N$114="","",SUMIFS($D$63:$D$82,$C$63:$C$82,'Detailed Feasibility'!$B119,$I$63:$I$82,'Detailed Feasibility'!N$114))</f>
        <v>0</v>
      </c>
      <c r="O119" s="408">
        <f>IF(O$114="","",SUMIFS($D$63:$D$82,$C$63:$C$82,'Detailed Feasibility'!$B119,$I$63:$I$82,'Detailed Feasibility'!O$114))</f>
        <v>0</v>
      </c>
      <c r="P119" s="408">
        <f>IF(P$114="","",SUMIFS($D$63:$D$82,$C$63:$C$82,'Detailed Feasibility'!$B119,$I$63:$I$82,'Detailed Feasibility'!P$114))</f>
        <v>0</v>
      </c>
      <c r="Q119" s="408">
        <f>IF(Q$114="","",SUMIFS($D$63:$D$82,$C$63:$C$82,'Detailed Feasibility'!$B119,$I$63:$I$82,'Detailed Feasibility'!Q$114))</f>
        <v>0</v>
      </c>
      <c r="R119" s="408">
        <f>IF(R$114="","",SUMIFS($D$63:$D$82,$C$63:$C$82,'Detailed Feasibility'!$B119,$I$63:$I$82,'Detailed Feasibility'!R$114))</f>
        <v>0</v>
      </c>
      <c r="S119" s="408">
        <f>IF(S$114="","",SUMIFS($D$63:$D$82,$C$63:$C$82,'Detailed Feasibility'!$B119,$I$63:$I$82,'Detailed Feasibility'!S$114))</f>
        <v>0</v>
      </c>
      <c r="T119" s="408">
        <f>IF(T$114="","",SUMIFS($D$63:$D$82,$C$63:$C$82,'Detailed Feasibility'!$B119,$I$63:$I$82,'Detailed Feasibility'!T$114))</f>
        <v>0</v>
      </c>
      <c r="U119" s="408">
        <f>IF(U$114="","",SUMIFS($D$63:$D$82,$C$63:$C$82,'Detailed Feasibility'!$B119,$I$63:$I$82,'Detailed Feasibility'!U$114))</f>
        <v>0</v>
      </c>
      <c r="V119" s="408">
        <f>IF(V$114="","",SUMIFS($D$63:$D$82,$C$63:$C$82,'Detailed Feasibility'!$B119,$I$63:$I$82,'Detailed Feasibility'!V$114))</f>
        <v>0</v>
      </c>
      <c r="W119" s="408">
        <f>IF(W$114="","",SUMIFS($D$63:$D$82,$C$63:$C$82,'Detailed Feasibility'!$B119,$I$63:$I$82,'Detailed Feasibility'!W$114))</f>
        <v>0</v>
      </c>
      <c r="X119" s="408">
        <f>IF(X$114="","",SUMIFS($D$63:$D$82,$C$63:$C$82,'Detailed Feasibility'!$B119,$I$63:$I$82,'Detailed Feasibility'!X$114))</f>
        <v>0</v>
      </c>
      <c r="Y119" s="408">
        <f>IF(Y$114="","",SUMIFS($D$63:$D$82,$C$63:$C$82,'Detailed Feasibility'!$B119,$I$63:$I$82,'Detailed Feasibility'!Y$114))</f>
        <v>0</v>
      </c>
      <c r="Z119" s="408">
        <f>IF(Z$114="","",SUMIFS($D$63:$D$82,$C$63:$C$82,'Detailed Feasibility'!$B119,$I$63:$I$82,'Detailed Feasibility'!Z$114))</f>
        <v>0</v>
      </c>
      <c r="AA119" s="408">
        <f>IF(AA$114="","",SUMIFS($D$63:$D$82,$C$63:$C$82,'Detailed Feasibility'!$B119,$I$63:$I$82,'Detailed Feasibility'!AA$114))</f>
        <v>0</v>
      </c>
      <c r="AB119" s="408">
        <f>IF(AB$114="","",SUMIFS($D$63:$D$82,$C$63:$C$82,'Detailed Feasibility'!$B119,$I$63:$I$82,'Detailed Feasibility'!AB$114))</f>
        <v>0</v>
      </c>
      <c r="AC119" s="408">
        <f>IF(AC$114="","",SUMIFS($D$63:$D$82,$C$63:$C$82,'Detailed Feasibility'!$B119,$I$63:$I$82,'Detailed Feasibility'!AC$114))</f>
        <v>0</v>
      </c>
      <c r="AD119" s="408">
        <f>IF(AD$114="","",SUMIFS($D$63:$D$82,$C$63:$C$82,'Detailed Feasibility'!$B119,$I$63:$I$82,'Detailed Feasibility'!AD$114))</f>
        <v>0</v>
      </c>
      <c r="AE119" s="408">
        <f>IF(AE$114="","",SUMIFS($D$63:$D$82,$C$63:$C$82,'Detailed Feasibility'!$B119,$I$63:$I$82,'Detailed Feasibility'!AE$114))</f>
        <v>616000</v>
      </c>
      <c r="AF119" s="408">
        <f>IF(AF$114="","",SUMIFS($D$63:$D$82,$C$63:$C$82,'Detailed Feasibility'!$B119,$I$63:$I$82,'Detailed Feasibility'!AF$114))</f>
        <v>0</v>
      </c>
      <c r="AG119" s="408">
        <f>IF(AG$114="","",SUMIFS($D$63:$D$82,$C$63:$C$82,'Detailed Feasibility'!$B119,$I$63:$I$82,'Detailed Feasibility'!AG$114))</f>
        <v>0</v>
      </c>
      <c r="AH119" s="408">
        <f>IF(AH$114="","",SUMIFS($D$63:$D$82,$C$63:$C$82,'Detailed Feasibility'!$B119,$I$63:$I$82,'Detailed Feasibility'!AH$114))</f>
        <v>0</v>
      </c>
      <c r="AI119" s="408">
        <f>IF(AI$114="","",SUMIFS($D$63:$D$82,$C$63:$C$82,'Detailed Feasibility'!$B119,$I$63:$I$82,'Detailed Feasibility'!AI$114))</f>
        <v>0</v>
      </c>
      <c r="AJ119" s="408">
        <f>IF(AJ$114="","",SUMIFS($D$63:$D$82,$C$63:$C$82,'Detailed Feasibility'!$B119,$I$63:$I$82,'Detailed Feasibility'!AJ$114))</f>
        <v>0</v>
      </c>
      <c r="AK119" s="408">
        <f>IF(AK$114="","",SUMIFS($D$63:$D$82,$C$63:$C$82,'Detailed Feasibility'!$B119,$I$63:$I$82,'Detailed Feasibility'!AK$114))</f>
        <v>0</v>
      </c>
      <c r="AL119" s="408">
        <f>IF(AL$114="","",SUMIFS($D$63:$D$82,$C$63:$C$82,'Detailed Feasibility'!$B119,$I$63:$I$82,'Detailed Feasibility'!AL$114))</f>
        <v>0</v>
      </c>
      <c r="AM119" s="408">
        <f>IF(AM$114="","",SUMIFS($D$63:$D$82,$C$63:$C$82,'Detailed Feasibility'!$B119,$I$63:$I$82,'Detailed Feasibility'!AM$114))</f>
        <v>0</v>
      </c>
      <c r="AN119" s="408">
        <f>IF(AN$114="","",SUMIFS($D$63:$D$82,$C$63:$C$82,'Detailed Feasibility'!$B119,$I$63:$I$82,'Detailed Feasibility'!AN$114))</f>
        <v>0</v>
      </c>
      <c r="AO119" s="408">
        <f>IF(AO$114="","",SUMIFS($D$63:$D$82,$C$63:$C$82,'Detailed Feasibility'!$B119,$I$63:$I$82,'Detailed Feasibility'!AO$114))</f>
        <v>0</v>
      </c>
      <c r="AP119" s="408">
        <f>IF(AP$114="","",SUMIFS($D$63:$D$82,$C$63:$C$82,'Detailed Feasibility'!$B119,$I$63:$I$82,'Detailed Feasibility'!AP$114))</f>
        <v>0</v>
      </c>
      <c r="AQ119" s="408" t="str">
        <f>IF(AQ$114="","",SUMIFS($D$63:$D$82,$C$63:$C$82,'Detailed Feasibility'!$B119,$I$63:$I$82,'Detailed Feasibility'!AQ$114))</f>
        <v/>
      </c>
      <c r="AR119" s="408" t="str">
        <f>IF(AR$114="","",SUMIFS($D$63:$D$82,$C$63:$C$82,'Detailed Feasibility'!$B119,$I$63:$I$82,'Detailed Feasibility'!AR$114))</f>
        <v/>
      </c>
      <c r="AS119" s="408" t="str">
        <f>IF(AS$114="","",SUMIFS($D$63:$D$82,$C$63:$C$82,'Detailed Feasibility'!$B119,$I$63:$I$82,'Detailed Feasibility'!AS$114))</f>
        <v/>
      </c>
      <c r="AT119" s="408" t="str">
        <f>IF(AT$114="","",SUMIFS($D$63:$D$82,$C$63:$C$82,'Detailed Feasibility'!$B119,$I$63:$I$82,'Detailed Feasibility'!AT$114))</f>
        <v/>
      </c>
      <c r="AU119" s="408" t="str">
        <f>IF(AU$114="","",SUMIFS($D$63:$D$82,$C$63:$C$82,'Detailed Feasibility'!$B119,$I$63:$I$82,'Detailed Feasibility'!AU$114))</f>
        <v/>
      </c>
      <c r="AV119" s="408" t="str">
        <f>IF(AV$114="","",SUMIFS($D$63:$D$82,$C$63:$C$82,'Detailed Feasibility'!$B119,$I$63:$I$82,'Detailed Feasibility'!AV$114))</f>
        <v/>
      </c>
      <c r="AW119" s="408" t="str">
        <f>IF(AW$114="","",SUMIFS($D$63:$D$82,$C$63:$C$82,'Detailed Feasibility'!$B119,$I$63:$I$82,'Detailed Feasibility'!AW$114))</f>
        <v/>
      </c>
      <c r="AX119" s="408" t="str">
        <f>IF(AX$114="","",SUMIFS($D$63:$D$82,$C$63:$C$82,'Detailed Feasibility'!$B119,$I$63:$I$82,'Detailed Feasibility'!AX$114))</f>
        <v/>
      </c>
      <c r="AY119" s="408" t="str">
        <f>IF(AY$114="","",SUMIFS($D$63:$D$82,$C$63:$C$82,'Detailed Feasibility'!$B119,$I$63:$I$82,'Detailed Feasibility'!AY$114))</f>
        <v/>
      </c>
      <c r="AZ119" s="408" t="str">
        <f>IF(AZ$114="","",SUMIFS($D$63:$D$82,$C$63:$C$82,'Detailed Feasibility'!$B119,$I$63:$I$82,'Detailed Feasibility'!AZ$114))</f>
        <v/>
      </c>
      <c r="BA119" s="408" t="str">
        <f>IF(BA$114="","",SUMIFS($D$63:$D$82,$C$63:$C$82,'Detailed Feasibility'!$B119,$I$63:$I$82,'Detailed Feasibility'!BA$114))</f>
        <v/>
      </c>
      <c r="BB119" s="408" t="str">
        <f>IF(BB$114="","",SUMIFS($D$63:$D$82,$C$63:$C$82,'Detailed Feasibility'!$B119,$I$63:$I$82,'Detailed Feasibility'!BB$114))</f>
        <v/>
      </c>
      <c r="BC119" s="408" t="str">
        <f>IF(BC$114="","",SUMIFS($D$63:$D$82,$C$63:$C$82,'Detailed Feasibility'!$B119,$I$63:$I$82,'Detailed Feasibility'!BC$114))</f>
        <v/>
      </c>
      <c r="BD119" s="408" t="str">
        <f>IF(BD$114="","",SUMIFS($D$63:$D$82,$C$63:$C$82,'Detailed Feasibility'!$B119,$I$63:$I$82,'Detailed Feasibility'!BD$114))</f>
        <v/>
      </c>
      <c r="BE119" s="408" t="str">
        <f>IF(BE$114="","",SUMIFS($D$63:$D$82,$C$63:$C$82,'Detailed Feasibility'!$B119,$I$63:$I$82,'Detailed Feasibility'!BE$114))</f>
        <v/>
      </c>
      <c r="BF119" s="408" t="str">
        <f>IF(BF$114="","",SUMIFS($D$63:$D$82,$C$63:$C$82,'Detailed Feasibility'!$B119,$I$63:$I$82,'Detailed Feasibility'!BF$114))</f>
        <v/>
      </c>
      <c r="BG119" s="408" t="str">
        <f>IF(BG$114="","",SUMIFS($D$63:$D$82,$C$63:$C$82,'Detailed Feasibility'!$B119,$I$63:$I$82,'Detailed Feasibility'!BG$114))</f>
        <v/>
      </c>
      <c r="BH119" s="408" t="str">
        <f>IF(BH$114="","",SUMIFS($D$63:$D$82,$C$63:$C$82,'Detailed Feasibility'!$B119,$I$63:$I$82,'Detailed Feasibility'!BH$114))</f>
        <v/>
      </c>
      <c r="BI119" s="408" t="str">
        <f>IF(BI$114="","",SUMIFS($D$63:$D$82,$C$63:$C$82,'Detailed Feasibility'!$B119,$I$63:$I$82,'Detailed Feasibility'!BI$114))</f>
        <v/>
      </c>
      <c r="BJ119" s="408" t="str">
        <f>IF(BJ$114="","",SUMIFS($D$63:$D$82,$C$63:$C$82,'Detailed Feasibility'!$B119,$I$63:$I$82,'Detailed Feasibility'!BJ$114))</f>
        <v/>
      </c>
      <c r="BK119" s="408" t="str">
        <f>IF(BK$114="","",SUMIFS($D$63:$D$82,$C$63:$C$82,'Detailed Feasibility'!$B119,$I$63:$I$82,'Detailed Feasibility'!BK$114))</f>
        <v/>
      </c>
      <c r="BL119" s="408" t="str">
        <f>IF(BL$114="","",SUMIFS($D$63:$D$82,$C$63:$C$82,'Detailed Feasibility'!$B119,$I$63:$I$82,'Detailed Feasibility'!BL$114))</f>
        <v/>
      </c>
      <c r="BM119" s="409" t="str">
        <f>IF(BM$114="","",SUMIFS($D$63:$D$82,$C$63:$C$82,'Detailed Feasibility'!$B119,$I$63:$I$82,'Detailed Feasibility'!BM$114))</f>
        <v/>
      </c>
    </row>
    <row r="120" spans="2:65" s="307" customFormat="1" x14ac:dyDescent="0.45">
      <c r="B120" s="602" t="str">
        <f t="shared" si="9"/>
        <v>4 Bed</v>
      </c>
      <c r="C120" s="406"/>
      <c r="D120" s="345">
        <f>'Detailed Feasibility Inputs'!L45</f>
        <v>2387000</v>
      </c>
      <c r="E120" s="407">
        <f t="shared" si="10"/>
        <v>1</v>
      </c>
      <c r="F120" s="408">
        <f>IF(F$114="","",SUMIFS($D$63:$D$82,$C$63:$C$82,'Detailed Feasibility'!$B120,$I$63:$I$82,'Detailed Feasibility'!F$114))</f>
        <v>0</v>
      </c>
      <c r="G120" s="408">
        <f>IF(G$114="","",SUMIFS($D$63:$D$82,$C$63:$C$82,'Detailed Feasibility'!$B120,$I$63:$I$82,'Detailed Feasibility'!G$114))</f>
        <v>0</v>
      </c>
      <c r="H120" s="408">
        <f>IF(H$114="","",SUMIFS($D$63:$D$82,$C$63:$C$82,'Detailed Feasibility'!$B120,$I$63:$I$82,'Detailed Feasibility'!H$114))</f>
        <v>0</v>
      </c>
      <c r="I120" s="408">
        <f>IF(I$114="","",SUMIFS($D$63:$D$82,$C$63:$C$82,'Detailed Feasibility'!$B120,$I$63:$I$82,'Detailed Feasibility'!I$114))</f>
        <v>0</v>
      </c>
      <c r="J120" s="408">
        <f>IF(J$114="","",SUMIFS($D$63:$D$82,$C$63:$C$82,'Detailed Feasibility'!$B120,$I$63:$I$82,'Detailed Feasibility'!J$114))</f>
        <v>0</v>
      </c>
      <c r="K120" s="408">
        <f>IF(K$114="","",SUMIFS($D$63:$D$82,$C$63:$C$82,'Detailed Feasibility'!$B120,$I$63:$I$82,'Detailed Feasibility'!K$114))</f>
        <v>0</v>
      </c>
      <c r="L120" s="408">
        <f>IF(L$114="","",SUMIFS($D$63:$D$82,$C$63:$C$82,'Detailed Feasibility'!$B120,$I$63:$I$82,'Detailed Feasibility'!L$114))</f>
        <v>0</v>
      </c>
      <c r="M120" s="408">
        <f>IF(M$114="","",SUMIFS($D$63:$D$82,$C$63:$C$82,'Detailed Feasibility'!$B120,$I$63:$I$82,'Detailed Feasibility'!M$114))</f>
        <v>0</v>
      </c>
      <c r="N120" s="408">
        <f>IF(N$114="","",SUMIFS($D$63:$D$82,$C$63:$C$82,'Detailed Feasibility'!$B120,$I$63:$I$82,'Detailed Feasibility'!N$114))</f>
        <v>0</v>
      </c>
      <c r="O120" s="408">
        <f>IF(O$114="","",SUMIFS($D$63:$D$82,$C$63:$C$82,'Detailed Feasibility'!$B120,$I$63:$I$82,'Detailed Feasibility'!O$114))</f>
        <v>0</v>
      </c>
      <c r="P120" s="408">
        <f>IF(P$114="","",SUMIFS($D$63:$D$82,$C$63:$C$82,'Detailed Feasibility'!$B120,$I$63:$I$82,'Detailed Feasibility'!P$114))</f>
        <v>0</v>
      </c>
      <c r="Q120" s="408">
        <f>IF(Q$114="","",SUMIFS($D$63:$D$82,$C$63:$C$82,'Detailed Feasibility'!$B120,$I$63:$I$82,'Detailed Feasibility'!Q$114))</f>
        <v>0</v>
      </c>
      <c r="R120" s="408">
        <f>IF(R$114="","",SUMIFS($D$63:$D$82,$C$63:$C$82,'Detailed Feasibility'!$B120,$I$63:$I$82,'Detailed Feasibility'!R$114))</f>
        <v>0</v>
      </c>
      <c r="S120" s="408">
        <f>IF(S$114="","",SUMIFS($D$63:$D$82,$C$63:$C$82,'Detailed Feasibility'!$B120,$I$63:$I$82,'Detailed Feasibility'!S$114))</f>
        <v>0</v>
      </c>
      <c r="T120" s="408">
        <f>IF(T$114="","",SUMIFS($D$63:$D$82,$C$63:$C$82,'Detailed Feasibility'!$B120,$I$63:$I$82,'Detailed Feasibility'!T$114))</f>
        <v>0</v>
      </c>
      <c r="U120" s="408">
        <f>IF(U$114="","",SUMIFS($D$63:$D$82,$C$63:$C$82,'Detailed Feasibility'!$B120,$I$63:$I$82,'Detailed Feasibility'!U$114))</f>
        <v>0</v>
      </c>
      <c r="V120" s="408">
        <f>IF(V$114="","",SUMIFS($D$63:$D$82,$C$63:$C$82,'Detailed Feasibility'!$B120,$I$63:$I$82,'Detailed Feasibility'!V$114))</f>
        <v>0</v>
      </c>
      <c r="W120" s="408">
        <f>IF(W$114="","",SUMIFS($D$63:$D$82,$C$63:$C$82,'Detailed Feasibility'!$B120,$I$63:$I$82,'Detailed Feasibility'!W$114))</f>
        <v>0</v>
      </c>
      <c r="X120" s="408">
        <f>IF(X$114="","",SUMIFS($D$63:$D$82,$C$63:$C$82,'Detailed Feasibility'!$B120,$I$63:$I$82,'Detailed Feasibility'!X$114))</f>
        <v>0</v>
      </c>
      <c r="Y120" s="408">
        <f>IF(Y$114="","",SUMIFS($D$63:$D$82,$C$63:$C$82,'Detailed Feasibility'!$B120,$I$63:$I$82,'Detailed Feasibility'!Y$114))</f>
        <v>0</v>
      </c>
      <c r="Z120" s="408">
        <f>IF(Z$114="","",SUMIFS($D$63:$D$82,$C$63:$C$82,'Detailed Feasibility'!$B120,$I$63:$I$82,'Detailed Feasibility'!Z$114))</f>
        <v>0</v>
      </c>
      <c r="AA120" s="408">
        <f>IF(AA$114="","",SUMIFS($D$63:$D$82,$C$63:$C$82,'Detailed Feasibility'!$B120,$I$63:$I$82,'Detailed Feasibility'!AA$114))</f>
        <v>0</v>
      </c>
      <c r="AB120" s="408">
        <f>IF(AB$114="","",SUMIFS($D$63:$D$82,$C$63:$C$82,'Detailed Feasibility'!$B120,$I$63:$I$82,'Detailed Feasibility'!AB$114))</f>
        <v>0</v>
      </c>
      <c r="AC120" s="408">
        <f>IF(AC$114="","",SUMIFS($D$63:$D$82,$C$63:$C$82,'Detailed Feasibility'!$B120,$I$63:$I$82,'Detailed Feasibility'!AC$114))</f>
        <v>0</v>
      </c>
      <c r="AD120" s="408">
        <f>IF(AD$114="","",SUMIFS($D$63:$D$82,$C$63:$C$82,'Detailed Feasibility'!$B120,$I$63:$I$82,'Detailed Feasibility'!AD$114))</f>
        <v>0</v>
      </c>
      <c r="AE120" s="408">
        <f>IF(AE$114="","",SUMIFS($D$63:$D$82,$C$63:$C$82,'Detailed Feasibility'!$B120,$I$63:$I$82,'Detailed Feasibility'!AE$114))</f>
        <v>0</v>
      </c>
      <c r="AF120" s="408">
        <f>IF(AF$114="","",SUMIFS($D$63:$D$82,$C$63:$C$82,'Detailed Feasibility'!$B120,$I$63:$I$82,'Detailed Feasibility'!AF$114))</f>
        <v>0</v>
      </c>
      <c r="AG120" s="408">
        <f>IF(AG$114="","",SUMIFS($D$63:$D$82,$C$63:$C$82,'Detailed Feasibility'!$B120,$I$63:$I$82,'Detailed Feasibility'!AG$114))</f>
        <v>0</v>
      </c>
      <c r="AH120" s="408">
        <f>IF(AH$114="","",SUMIFS($D$63:$D$82,$C$63:$C$82,'Detailed Feasibility'!$B120,$I$63:$I$82,'Detailed Feasibility'!AH$114))</f>
        <v>2387000</v>
      </c>
      <c r="AI120" s="408">
        <f>IF(AI$114="","",SUMIFS($D$63:$D$82,$C$63:$C$82,'Detailed Feasibility'!$B120,$I$63:$I$82,'Detailed Feasibility'!AI$114))</f>
        <v>0</v>
      </c>
      <c r="AJ120" s="408">
        <f>IF(AJ$114="","",SUMIFS($D$63:$D$82,$C$63:$C$82,'Detailed Feasibility'!$B120,$I$63:$I$82,'Detailed Feasibility'!AJ$114))</f>
        <v>0</v>
      </c>
      <c r="AK120" s="408">
        <f>IF(AK$114="","",SUMIFS($D$63:$D$82,$C$63:$C$82,'Detailed Feasibility'!$B120,$I$63:$I$82,'Detailed Feasibility'!AK$114))</f>
        <v>0</v>
      </c>
      <c r="AL120" s="408">
        <f>IF(AL$114="","",SUMIFS($D$63:$D$82,$C$63:$C$82,'Detailed Feasibility'!$B120,$I$63:$I$82,'Detailed Feasibility'!AL$114))</f>
        <v>0</v>
      </c>
      <c r="AM120" s="408">
        <f>IF(AM$114="","",SUMIFS($D$63:$D$82,$C$63:$C$82,'Detailed Feasibility'!$B120,$I$63:$I$82,'Detailed Feasibility'!AM$114))</f>
        <v>0</v>
      </c>
      <c r="AN120" s="408">
        <f>IF(AN$114="","",SUMIFS($D$63:$D$82,$C$63:$C$82,'Detailed Feasibility'!$B120,$I$63:$I$82,'Detailed Feasibility'!AN$114))</f>
        <v>0</v>
      </c>
      <c r="AO120" s="408">
        <f>IF(AO$114="","",SUMIFS($D$63:$D$82,$C$63:$C$82,'Detailed Feasibility'!$B120,$I$63:$I$82,'Detailed Feasibility'!AO$114))</f>
        <v>0</v>
      </c>
      <c r="AP120" s="408">
        <f>IF(AP$114="","",SUMIFS($D$63:$D$82,$C$63:$C$82,'Detailed Feasibility'!$B120,$I$63:$I$82,'Detailed Feasibility'!AP$114))</f>
        <v>0</v>
      </c>
      <c r="AQ120" s="408" t="str">
        <f>IF(AQ$114="","",SUMIFS($D$63:$D$82,$C$63:$C$82,'Detailed Feasibility'!$B120,$I$63:$I$82,'Detailed Feasibility'!AQ$114))</f>
        <v/>
      </c>
      <c r="AR120" s="408" t="str">
        <f>IF(AR$114="","",SUMIFS($D$63:$D$82,$C$63:$C$82,'Detailed Feasibility'!$B120,$I$63:$I$82,'Detailed Feasibility'!AR$114))</f>
        <v/>
      </c>
      <c r="AS120" s="408" t="str">
        <f>IF(AS$114="","",SUMIFS($D$63:$D$82,$C$63:$C$82,'Detailed Feasibility'!$B120,$I$63:$I$82,'Detailed Feasibility'!AS$114))</f>
        <v/>
      </c>
      <c r="AT120" s="408" t="str">
        <f>IF(AT$114="","",SUMIFS($D$63:$D$82,$C$63:$C$82,'Detailed Feasibility'!$B120,$I$63:$I$82,'Detailed Feasibility'!AT$114))</f>
        <v/>
      </c>
      <c r="AU120" s="408" t="str">
        <f>IF(AU$114="","",SUMIFS($D$63:$D$82,$C$63:$C$82,'Detailed Feasibility'!$B120,$I$63:$I$82,'Detailed Feasibility'!AU$114))</f>
        <v/>
      </c>
      <c r="AV120" s="408" t="str">
        <f>IF(AV$114="","",SUMIFS($D$63:$D$82,$C$63:$C$82,'Detailed Feasibility'!$B120,$I$63:$I$82,'Detailed Feasibility'!AV$114))</f>
        <v/>
      </c>
      <c r="AW120" s="408" t="str">
        <f>IF(AW$114="","",SUMIFS($D$63:$D$82,$C$63:$C$82,'Detailed Feasibility'!$B120,$I$63:$I$82,'Detailed Feasibility'!AW$114))</f>
        <v/>
      </c>
      <c r="AX120" s="408" t="str">
        <f>IF(AX$114="","",SUMIFS($D$63:$D$82,$C$63:$C$82,'Detailed Feasibility'!$B120,$I$63:$I$82,'Detailed Feasibility'!AX$114))</f>
        <v/>
      </c>
      <c r="AY120" s="408" t="str">
        <f>IF(AY$114="","",SUMIFS($D$63:$D$82,$C$63:$C$82,'Detailed Feasibility'!$B120,$I$63:$I$82,'Detailed Feasibility'!AY$114))</f>
        <v/>
      </c>
      <c r="AZ120" s="408" t="str">
        <f>IF(AZ$114="","",SUMIFS($D$63:$D$82,$C$63:$C$82,'Detailed Feasibility'!$B120,$I$63:$I$82,'Detailed Feasibility'!AZ$114))</f>
        <v/>
      </c>
      <c r="BA120" s="408" t="str">
        <f>IF(BA$114="","",SUMIFS($D$63:$D$82,$C$63:$C$82,'Detailed Feasibility'!$B120,$I$63:$I$82,'Detailed Feasibility'!BA$114))</f>
        <v/>
      </c>
      <c r="BB120" s="408" t="str">
        <f>IF(BB$114="","",SUMIFS($D$63:$D$82,$C$63:$C$82,'Detailed Feasibility'!$B120,$I$63:$I$82,'Detailed Feasibility'!BB$114))</f>
        <v/>
      </c>
      <c r="BC120" s="408" t="str">
        <f>IF(BC$114="","",SUMIFS($D$63:$D$82,$C$63:$C$82,'Detailed Feasibility'!$B120,$I$63:$I$82,'Detailed Feasibility'!BC$114))</f>
        <v/>
      </c>
      <c r="BD120" s="408" t="str">
        <f>IF(BD$114="","",SUMIFS($D$63:$D$82,$C$63:$C$82,'Detailed Feasibility'!$B120,$I$63:$I$82,'Detailed Feasibility'!BD$114))</f>
        <v/>
      </c>
      <c r="BE120" s="408" t="str">
        <f>IF(BE$114="","",SUMIFS($D$63:$D$82,$C$63:$C$82,'Detailed Feasibility'!$B120,$I$63:$I$82,'Detailed Feasibility'!BE$114))</f>
        <v/>
      </c>
      <c r="BF120" s="408" t="str">
        <f>IF(BF$114="","",SUMIFS($D$63:$D$82,$C$63:$C$82,'Detailed Feasibility'!$B120,$I$63:$I$82,'Detailed Feasibility'!BF$114))</f>
        <v/>
      </c>
      <c r="BG120" s="408" t="str">
        <f>IF(BG$114="","",SUMIFS($D$63:$D$82,$C$63:$C$82,'Detailed Feasibility'!$B120,$I$63:$I$82,'Detailed Feasibility'!BG$114))</f>
        <v/>
      </c>
      <c r="BH120" s="408" t="str">
        <f>IF(BH$114="","",SUMIFS($D$63:$D$82,$C$63:$C$82,'Detailed Feasibility'!$B120,$I$63:$I$82,'Detailed Feasibility'!BH$114))</f>
        <v/>
      </c>
      <c r="BI120" s="408" t="str">
        <f>IF(BI$114="","",SUMIFS($D$63:$D$82,$C$63:$C$82,'Detailed Feasibility'!$B120,$I$63:$I$82,'Detailed Feasibility'!BI$114))</f>
        <v/>
      </c>
      <c r="BJ120" s="408" t="str">
        <f>IF(BJ$114="","",SUMIFS($D$63:$D$82,$C$63:$C$82,'Detailed Feasibility'!$B120,$I$63:$I$82,'Detailed Feasibility'!BJ$114))</f>
        <v/>
      </c>
      <c r="BK120" s="408" t="str">
        <f>IF(BK$114="","",SUMIFS($D$63:$D$82,$C$63:$C$82,'Detailed Feasibility'!$B120,$I$63:$I$82,'Detailed Feasibility'!BK$114))</f>
        <v/>
      </c>
      <c r="BL120" s="408" t="str">
        <f>IF(BL$114="","",SUMIFS($D$63:$D$82,$C$63:$C$82,'Detailed Feasibility'!$B120,$I$63:$I$82,'Detailed Feasibility'!BL$114))</f>
        <v/>
      </c>
      <c r="BM120" s="409" t="str">
        <f>IF(BM$114="","",SUMIFS($D$63:$D$82,$C$63:$C$82,'Detailed Feasibility'!$B120,$I$63:$I$82,'Detailed Feasibility'!BM$114))</f>
        <v/>
      </c>
    </row>
    <row r="121" spans="2:65" s="307" customFormat="1" x14ac:dyDescent="0.45">
      <c r="B121" s="602" t="str">
        <f t="shared" si="9"/>
        <v>5 Bed</v>
      </c>
      <c r="C121" s="406"/>
      <c r="D121" s="345">
        <f>'Detailed Feasibility Inputs'!L46</f>
        <v>0</v>
      </c>
      <c r="E121" s="407">
        <f t="shared" si="10"/>
        <v>1</v>
      </c>
      <c r="F121" s="408">
        <f>IF(F$114="","",SUMIFS($D$63:$D$82,$C$63:$C$82,'Detailed Feasibility'!$B121,$I$63:$I$82,'Detailed Feasibility'!F$114))</f>
        <v>0</v>
      </c>
      <c r="G121" s="408">
        <f>IF(G$114="","",SUMIFS($D$63:$D$82,$C$63:$C$82,'Detailed Feasibility'!$B121,$I$63:$I$82,'Detailed Feasibility'!G$114))</f>
        <v>0</v>
      </c>
      <c r="H121" s="408">
        <f>IF(H$114="","",SUMIFS($D$63:$D$82,$C$63:$C$82,'Detailed Feasibility'!$B121,$I$63:$I$82,'Detailed Feasibility'!H$114))</f>
        <v>0</v>
      </c>
      <c r="I121" s="408">
        <f>IF(I$114="","",SUMIFS($D$63:$D$82,$C$63:$C$82,'Detailed Feasibility'!$B121,$I$63:$I$82,'Detailed Feasibility'!I$114))</f>
        <v>0</v>
      </c>
      <c r="J121" s="408">
        <f>IF(J$114="","",SUMIFS($D$63:$D$82,$C$63:$C$82,'Detailed Feasibility'!$B121,$I$63:$I$82,'Detailed Feasibility'!J$114))</f>
        <v>0</v>
      </c>
      <c r="K121" s="408">
        <f>IF(K$114="","",SUMIFS($D$63:$D$82,$C$63:$C$82,'Detailed Feasibility'!$B121,$I$63:$I$82,'Detailed Feasibility'!K$114))</f>
        <v>0</v>
      </c>
      <c r="L121" s="408">
        <f>IF(L$114="","",SUMIFS($D$63:$D$82,$C$63:$C$82,'Detailed Feasibility'!$B121,$I$63:$I$82,'Detailed Feasibility'!L$114))</f>
        <v>0</v>
      </c>
      <c r="M121" s="408">
        <f>IF(M$114="","",SUMIFS($D$63:$D$82,$C$63:$C$82,'Detailed Feasibility'!$B121,$I$63:$I$82,'Detailed Feasibility'!M$114))</f>
        <v>0</v>
      </c>
      <c r="N121" s="408">
        <f>IF(N$114="","",SUMIFS($D$63:$D$82,$C$63:$C$82,'Detailed Feasibility'!$B121,$I$63:$I$82,'Detailed Feasibility'!N$114))</f>
        <v>0</v>
      </c>
      <c r="O121" s="408">
        <f>IF(O$114="","",SUMIFS($D$63:$D$82,$C$63:$C$82,'Detailed Feasibility'!$B121,$I$63:$I$82,'Detailed Feasibility'!O$114))</f>
        <v>0</v>
      </c>
      <c r="P121" s="408">
        <f>IF(P$114="","",SUMIFS($D$63:$D$82,$C$63:$C$82,'Detailed Feasibility'!$B121,$I$63:$I$82,'Detailed Feasibility'!P$114))</f>
        <v>0</v>
      </c>
      <c r="Q121" s="408">
        <f>IF(Q$114="","",SUMIFS($D$63:$D$82,$C$63:$C$82,'Detailed Feasibility'!$B121,$I$63:$I$82,'Detailed Feasibility'!Q$114))</f>
        <v>0</v>
      </c>
      <c r="R121" s="408">
        <f>IF(R$114="","",SUMIFS($D$63:$D$82,$C$63:$C$82,'Detailed Feasibility'!$B121,$I$63:$I$82,'Detailed Feasibility'!R$114))</f>
        <v>0</v>
      </c>
      <c r="S121" s="408">
        <f>IF(S$114="","",SUMIFS($D$63:$D$82,$C$63:$C$82,'Detailed Feasibility'!$B121,$I$63:$I$82,'Detailed Feasibility'!S$114))</f>
        <v>0</v>
      </c>
      <c r="T121" s="408">
        <f>IF(T$114="","",SUMIFS($D$63:$D$82,$C$63:$C$82,'Detailed Feasibility'!$B121,$I$63:$I$82,'Detailed Feasibility'!T$114))</f>
        <v>0</v>
      </c>
      <c r="U121" s="408">
        <f>IF(U$114="","",SUMIFS($D$63:$D$82,$C$63:$C$82,'Detailed Feasibility'!$B121,$I$63:$I$82,'Detailed Feasibility'!U$114))</f>
        <v>0</v>
      </c>
      <c r="V121" s="408">
        <f>IF(V$114="","",SUMIFS($D$63:$D$82,$C$63:$C$82,'Detailed Feasibility'!$B121,$I$63:$I$82,'Detailed Feasibility'!V$114))</f>
        <v>0</v>
      </c>
      <c r="W121" s="408">
        <f>IF(W$114="","",SUMIFS($D$63:$D$82,$C$63:$C$82,'Detailed Feasibility'!$B121,$I$63:$I$82,'Detailed Feasibility'!W$114))</f>
        <v>0</v>
      </c>
      <c r="X121" s="408">
        <f>IF(X$114="","",SUMIFS($D$63:$D$82,$C$63:$C$82,'Detailed Feasibility'!$B121,$I$63:$I$82,'Detailed Feasibility'!X$114))</f>
        <v>0</v>
      </c>
      <c r="Y121" s="408">
        <f>IF(Y$114="","",SUMIFS($D$63:$D$82,$C$63:$C$82,'Detailed Feasibility'!$B121,$I$63:$I$82,'Detailed Feasibility'!Y$114))</f>
        <v>0</v>
      </c>
      <c r="Z121" s="408">
        <f>IF(Z$114="","",SUMIFS($D$63:$D$82,$C$63:$C$82,'Detailed Feasibility'!$B121,$I$63:$I$82,'Detailed Feasibility'!Z$114))</f>
        <v>0</v>
      </c>
      <c r="AA121" s="408">
        <f>IF(AA$114="","",SUMIFS($D$63:$D$82,$C$63:$C$82,'Detailed Feasibility'!$B121,$I$63:$I$82,'Detailed Feasibility'!AA$114))</f>
        <v>0</v>
      </c>
      <c r="AB121" s="408">
        <f>IF(AB$114="","",SUMIFS($D$63:$D$82,$C$63:$C$82,'Detailed Feasibility'!$B121,$I$63:$I$82,'Detailed Feasibility'!AB$114))</f>
        <v>0</v>
      </c>
      <c r="AC121" s="408">
        <f>IF(AC$114="","",SUMIFS($D$63:$D$82,$C$63:$C$82,'Detailed Feasibility'!$B121,$I$63:$I$82,'Detailed Feasibility'!AC$114))</f>
        <v>0</v>
      </c>
      <c r="AD121" s="408">
        <f>IF(AD$114="","",SUMIFS($D$63:$D$82,$C$63:$C$82,'Detailed Feasibility'!$B121,$I$63:$I$82,'Detailed Feasibility'!AD$114))</f>
        <v>0</v>
      </c>
      <c r="AE121" s="408">
        <f>IF(AE$114="","",SUMIFS($D$63:$D$82,$C$63:$C$82,'Detailed Feasibility'!$B121,$I$63:$I$82,'Detailed Feasibility'!AE$114))</f>
        <v>0</v>
      </c>
      <c r="AF121" s="408">
        <f>IF(AF$114="","",SUMIFS($D$63:$D$82,$C$63:$C$82,'Detailed Feasibility'!$B121,$I$63:$I$82,'Detailed Feasibility'!AF$114))</f>
        <v>0</v>
      </c>
      <c r="AG121" s="408">
        <f>IF(AG$114="","",SUMIFS($D$63:$D$82,$C$63:$C$82,'Detailed Feasibility'!$B121,$I$63:$I$82,'Detailed Feasibility'!AG$114))</f>
        <v>0</v>
      </c>
      <c r="AH121" s="408">
        <f>IF(AH$114="","",SUMIFS($D$63:$D$82,$C$63:$C$82,'Detailed Feasibility'!$B121,$I$63:$I$82,'Detailed Feasibility'!AH$114))</f>
        <v>0</v>
      </c>
      <c r="AI121" s="408">
        <f>IF(AI$114="","",SUMIFS($D$63:$D$82,$C$63:$C$82,'Detailed Feasibility'!$B121,$I$63:$I$82,'Detailed Feasibility'!AI$114))</f>
        <v>0</v>
      </c>
      <c r="AJ121" s="408">
        <f>IF(AJ$114="","",SUMIFS($D$63:$D$82,$C$63:$C$82,'Detailed Feasibility'!$B121,$I$63:$I$82,'Detailed Feasibility'!AJ$114))</f>
        <v>0</v>
      </c>
      <c r="AK121" s="408">
        <f>IF(AK$114="","",SUMIFS($D$63:$D$82,$C$63:$C$82,'Detailed Feasibility'!$B121,$I$63:$I$82,'Detailed Feasibility'!AK$114))</f>
        <v>0</v>
      </c>
      <c r="AL121" s="408">
        <f>IF(AL$114="","",SUMIFS($D$63:$D$82,$C$63:$C$82,'Detailed Feasibility'!$B121,$I$63:$I$82,'Detailed Feasibility'!AL$114))</f>
        <v>0</v>
      </c>
      <c r="AM121" s="408">
        <f>IF(AM$114="","",SUMIFS($D$63:$D$82,$C$63:$C$82,'Detailed Feasibility'!$B121,$I$63:$I$82,'Detailed Feasibility'!AM$114))</f>
        <v>0</v>
      </c>
      <c r="AN121" s="408">
        <f>IF(AN$114="","",SUMIFS($D$63:$D$82,$C$63:$C$82,'Detailed Feasibility'!$B121,$I$63:$I$82,'Detailed Feasibility'!AN$114))</f>
        <v>0</v>
      </c>
      <c r="AO121" s="408">
        <f>IF(AO$114="","",SUMIFS($D$63:$D$82,$C$63:$C$82,'Detailed Feasibility'!$B121,$I$63:$I$82,'Detailed Feasibility'!AO$114))</f>
        <v>0</v>
      </c>
      <c r="AP121" s="408">
        <f>IF(AP$114="","",SUMIFS($D$63:$D$82,$C$63:$C$82,'Detailed Feasibility'!$B121,$I$63:$I$82,'Detailed Feasibility'!AP$114))</f>
        <v>0</v>
      </c>
      <c r="AQ121" s="408" t="str">
        <f>IF(AQ$114="","",SUMIFS($D$63:$D$82,$C$63:$C$82,'Detailed Feasibility'!$B121,$I$63:$I$82,'Detailed Feasibility'!AQ$114))</f>
        <v/>
      </c>
      <c r="AR121" s="408" t="str">
        <f>IF(AR$114="","",SUMIFS($D$63:$D$82,$C$63:$C$82,'Detailed Feasibility'!$B121,$I$63:$I$82,'Detailed Feasibility'!AR$114))</f>
        <v/>
      </c>
      <c r="AS121" s="408" t="str">
        <f>IF(AS$114="","",SUMIFS($D$63:$D$82,$C$63:$C$82,'Detailed Feasibility'!$B121,$I$63:$I$82,'Detailed Feasibility'!AS$114))</f>
        <v/>
      </c>
      <c r="AT121" s="408" t="str">
        <f>IF(AT$114="","",SUMIFS($D$63:$D$82,$C$63:$C$82,'Detailed Feasibility'!$B121,$I$63:$I$82,'Detailed Feasibility'!AT$114))</f>
        <v/>
      </c>
      <c r="AU121" s="408" t="str">
        <f>IF(AU$114="","",SUMIFS($D$63:$D$82,$C$63:$C$82,'Detailed Feasibility'!$B121,$I$63:$I$82,'Detailed Feasibility'!AU$114))</f>
        <v/>
      </c>
      <c r="AV121" s="408" t="str">
        <f>IF(AV$114="","",SUMIFS($D$63:$D$82,$C$63:$C$82,'Detailed Feasibility'!$B121,$I$63:$I$82,'Detailed Feasibility'!AV$114))</f>
        <v/>
      </c>
      <c r="AW121" s="408" t="str">
        <f>IF(AW$114="","",SUMIFS($D$63:$D$82,$C$63:$C$82,'Detailed Feasibility'!$B121,$I$63:$I$82,'Detailed Feasibility'!AW$114))</f>
        <v/>
      </c>
      <c r="AX121" s="408" t="str">
        <f>IF(AX$114="","",SUMIFS($D$63:$D$82,$C$63:$C$82,'Detailed Feasibility'!$B121,$I$63:$I$82,'Detailed Feasibility'!AX$114))</f>
        <v/>
      </c>
      <c r="AY121" s="408" t="str">
        <f>IF(AY$114="","",SUMIFS($D$63:$D$82,$C$63:$C$82,'Detailed Feasibility'!$B121,$I$63:$I$82,'Detailed Feasibility'!AY$114))</f>
        <v/>
      </c>
      <c r="AZ121" s="408" t="str">
        <f>IF(AZ$114="","",SUMIFS($D$63:$D$82,$C$63:$C$82,'Detailed Feasibility'!$B121,$I$63:$I$82,'Detailed Feasibility'!AZ$114))</f>
        <v/>
      </c>
      <c r="BA121" s="408" t="str">
        <f>IF(BA$114="","",SUMIFS($D$63:$D$82,$C$63:$C$82,'Detailed Feasibility'!$B121,$I$63:$I$82,'Detailed Feasibility'!BA$114))</f>
        <v/>
      </c>
      <c r="BB121" s="408" t="str">
        <f>IF(BB$114="","",SUMIFS($D$63:$D$82,$C$63:$C$82,'Detailed Feasibility'!$B121,$I$63:$I$82,'Detailed Feasibility'!BB$114))</f>
        <v/>
      </c>
      <c r="BC121" s="408" t="str">
        <f>IF(BC$114="","",SUMIFS($D$63:$D$82,$C$63:$C$82,'Detailed Feasibility'!$B121,$I$63:$I$82,'Detailed Feasibility'!BC$114))</f>
        <v/>
      </c>
      <c r="BD121" s="408" t="str">
        <f>IF(BD$114="","",SUMIFS($D$63:$D$82,$C$63:$C$82,'Detailed Feasibility'!$B121,$I$63:$I$82,'Detailed Feasibility'!BD$114))</f>
        <v/>
      </c>
      <c r="BE121" s="408" t="str">
        <f>IF(BE$114="","",SUMIFS($D$63:$D$82,$C$63:$C$82,'Detailed Feasibility'!$B121,$I$63:$I$82,'Detailed Feasibility'!BE$114))</f>
        <v/>
      </c>
      <c r="BF121" s="408" t="str">
        <f>IF(BF$114="","",SUMIFS($D$63:$D$82,$C$63:$C$82,'Detailed Feasibility'!$B121,$I$63:$I$82,'Detailed Feasibility'!BF$114))</f>
        <v/>
      </c>
      <c r="BG121" s="408" t="str">
        <f>IF(BG$114="","",SUMIFS($D$63:$D$82,$C$63:$C$82,'Detailed Feasibility'!$B121,$I$63:$I$82,'Detailed Feasibility'!BG$114))</f>
        <v/>
      </c>
      <c r="BH121" s="408" t="str">
        <f>IF(BH$114="","",SUMIFS($D$63:$D$82,$C$63:$C$82,'Detailed Feasibility'!$B121,$I$63:$I$82,'Detailed Feasibility'!BH$114))</f>
        <v/>
      </c>
      <c r="BI121" s="408" t="str">
        <f>IF(BI$114="","",SUMIFS($D$63:$D$82,$C$63:$C$82,'Detailed Feasibility'!$B121,$I$63:$I$82,'Detailed Feasibility'!BI$114))</f>
        <v/>
      </c>
      <c r="BJ121" s="408" t="str">
        <f>IF(BJ$114="","",SUMIFS($D$63:$D$82,$C$63:$C$82,'Detailed Feasibility'!$B121,$I$63:$I$82,'Detailed Feasibility'!BJ$114))</f>
        <v/>
      </c>
      <c r="BK121" s="408" t="str">
        <f>IF(BK$114="","",SUMIFS($D$63:$D$82,$C$63:$C$82,'Detailed Feasibility'!$B121,$I$63:$I$82,'Detailed Feasibility'!BK$114))</f>
        <v/>
      </c>
      <c r="BL121" s="408" t="str">
        <f>IF(BL$114="","",SUMIFS($D$63:$D$82,$C$63:$C$82,'Detailed Feasibility'!$B121,$I$63:$I$82,'Detailed Feasibility'!BL$114))</f>
        <v/>
      </c>
      <c r="BM121" s="409" t="str">
        <f>IF(BM$114="","",SUMIFS($D$63:$D$82,$C$63:$C$82,'Detailed Feasibility'!$B121,$I$63:$I$82,'Detailed Feasibility'!BM$114))</f>
        <v/>
      </c>
    </row>
    <row r="122" spans="2:65" s="307" customFormat="1" x14ac:dyDescent="0.45">
      <c r="B122" s="602" t="str">
        <f t="shared" si="9"/>
        <v>6 Bed</v>
      </c>
      <c r="C122" s="406"/>
      <c r="D122" s="345">
        <f>'Detailed Feasibility Inputs'!L47</f>
        <v>0</v>
      </c>
      <c r="E122" s="407">
        <f>IF(SUM(F122:BM122)=D122,1,0)</f>
        <v>1</v>
      </c>
      <c r="F122" s="408">
        <f>IF(F$114="","",SUMIFS($D$63:$D$82,$C$63:$C$82,'Detailed Feasibility'!$B122,$I$63:$I$82,'Detailed Feasibility'!F$114))</f>
        <v>0</v>
      </c>
      <c r="G122" s="408">
        <f>IF(G$114="","",SUMIFS($D$63:$D$82,$C$63:$C$82,'Detailed Feasibility'!$B122,$I$63:$I$82,'Detailed Feasibility'!G$114))</f>
        <v>0</v>
      </c>
      <c r="H122" s="408">
        <f>IF(H$114="","",SUMIFS($D$63:$D$82,$C$63:$C$82,'Detailed Feasibility'!$B122,$I$63:$I$82,'Detailed Feasibility'!H$114))</f>
        <v>0</v>
      </c>
      <c r="I122" s="408">
        <f>IF(I$114="","",SUMIFS($D$63:$D$82,$C$63:$C$82,'Detailed Feasibility'!$B122,$I$63:$I$82,'Detailed Feasibility'!I$114))</f>
        <v>0</v>
      </c>
      <c r="J122" s="408">
        <f>IF(J$114="","",SUMIFS($D$63:$D$82,$C$63:$C$82,'Detailed Feasibility'!$B122,$I$63:$I$82,'Detailed Feasibility'!J$114))</f>
        <v>0</v>
      </c>
      <c r="K122" s="408">
        <f>IF(K$114="","",SUMIFS($D$63:$D$82,$C$63:$C$82,'Detailed Feasibility'!$B122,$I$63:$I$82,'Detailed Feasibility'!K$114))</f>
        <v>0</v>
      </c>
      <c r="L122" s="408">
        <f>IF(L$114="","",SUMIFS($D$63:$D$82,$C$63:$C$82,'Detailed Feasibility'!$B122,$I$63:$I$82,'Detailed Feasibility'!L$114))</f>
        <v>0</v>
      </c>
      <c r="M122" s="408">
        <f>IF(M$114="","",SUMIFS($D$63:$D$82,$C$63:$C$82,'Detailed Feasibility'!$B122,$I$63:$I$82,'Detailed Feasibility'!M$114))</f>
        <v>0</v>
      </c>
      <c r="N122" s="408">
        <f>IF(N$114="","",SUMIFS($D$63:$D$82,$C$63:$C$82,'Detailed Feasibility'!$B122,$I$63:$I$82,'Detailed Feasibility'!N$114))</f>
        <v>0</v>
      </c>
      <c r="O122" s="408">
        <f>IF(O$114="","",SUMIFS($D$63:$D$82,$C$63:$C$82,'Detailed Feasibility'!$B122,$I$63:$I$82,'Detailed Feasibility'!O$114))</f>
        <v>0</v>
      </c>
      <c r="P122" s="408">
        <f>IF(P$114="","",SUMIFS($D$63:$D$82,$C$63:$C$82,'Detailed Feasibility'!$B122,$I$63:$I$82,'Detailed Feasibility'!P$114))</f>
        <v>0</v>
      </c>
      <c r="Q122" s="408">
        <f>IF(Q$114="","",SUMIFS($D$63:$D$82,$C$63:$C$82,'Detailed Feasibility'!$B122,$I$63:$I$82,'Detailed Feasibility'!Q$114))</f>
        <v>0</v>
      </c>
      <c r="R122" s="408">
        <f>IF(R$114="","",SUMIFS($D$63:$D$82,$C$63:$C$82,'Detailed Feasibility'!$B122,$I$63:$I$82,'Detailed Feasibility'!R$114))</f>
        <v>0</v>
      </c>
      <c r="S122" s="408">
        <f>IF(S$114="","",SUMIFS($D$63:$D$82,$C$63:$C$82,'Detailed Feasibility'!$B122,$I$63:$I$82,'Detailed Feasibility'!S$114))</f>
        <v>0</v>
      </c>
      <c r="T122" s="408">
        <f>IF(T$114="","",SUMIFS($D$63:$D$82,$C$63:$C$82,'Detailed Feasibility'!$B122,$I$63:$I$82,'Detailed Feasibility'!T$114))</f>
        <v>0</v>
      </c>
      <c r="U122" s="408">
        <f>IF(U$114="","",SUMIFS($D$63:$D$82,$C$63:$C$82,'Detailed Feasibility'!$B122,$I$63:$I$82,'Detailed Feasibility'!U$114))</f>
        <v>0</v>
      </c>
      <c r="V122" s="408">
        <f>IF(V$114="","",SUMIFS($D$63:$D$82,$C$63:$C$82,'Detailed Feasibility'!$B122,$I$63:$I$82,'Detailed Feasibility'!V$114))</f>
        <v>0</v>
      </c>
      <c r="W122" s="408">
        <f>IF(W$114="","",SUMIFS($D$63:$D$82,$C$63:$C$82,'Detailed Feasibility'!$B122,$I$63:$I$82,'Detailed Feasibility'!W$114))</f>
        <v>0</v>
      </c>
      <c r="X122" s="408">
        <f>IF(X$114="","",SUMIFS($D$63:$D$82,$C$63:$C$82,'Detailed Feasibility'!$B122,$I$63:$I$82,'Detailed Feasibility'!X$114))</f>
        <v>0</v>
      </c>
      <c r="Y122" s="408">
        <f>IF(Y$114="","",SUMIFS($D$63:$D$82,$C$63:$C$82,'Detailed Feasibility'!$B122,$I$63:$I$82,'Detailed Feasibility'!Y$114))</f>
        <v>0</v>
      </c>
      <c r="Z122" s="408">
        <f>IF(Z$114="","",SUMIFS($D$63:$D$82,$C$63:$C$82,'Detailed Feasibility'!$B122,$I$63:$I$82,'Detailed Feasibility'!Z$114))</f>
        <v>0</v>
      </c>
      <c r="AA122" s="408">
        <f>IF(AA$114="","",SUMIFS($D$63:$D$82,$C$63:$C$82,'Detailed Feasibility'!$B122,$I$63:$I$82,'Detailed Feasibility'!AA$114))</f>
        <v>0</v>
      </c>
      <c r="AB122" s="408">
        <f>IF(AB$114="","",SUMIFS($D$63:$D$82,$C$63:$C$82,'Detailed Feasibility'!$B122,$I$63:$I$82,'Detailed Feasibility'!AB$114))</f>
        <v>0</v>
      </c>
      <c r="AC122" s="408">
        <f>IF(AC$114="","",SUMIFS($D$63:$D$82,$C$63:$C$82,'Detailed Feasibility'!$B122,$I$63:$I$82,'Detailed Feasibility'!AC$114))</f>
        <v>0</v>
      </c>
      <c r="AD122" s="408">
        <f>IF(AD$114="","",SUMIFS($D$63:$D$82,$C$63:$C$82,'Detailed Feasibility'!$B122,$I$63:$I$82,'Detailed Feasibility'!AD$114))</f>
        <v>0</v>
      </c>
      <c r="AE122" s="408">
        <f>IF(AE$114="","",SUMIFS($D$63:$D$82,$C$63:$C$82,'Detailed Feasibility'!$B122,$I$63:$I$82,'Detailed Feasibility'!AE$114))</f>
        <v>0</v>
      </c>
      <c r="AF122" s="408">
        <f>IF(AF$114="","",SUMIFS($D$63:$D$82,$C$63:$C$82,'Detailed Feasibility'!$B122,$I$63:$I$82,'Detailed Feasibility'!AF$114))</f>
        <v>0</v>
      </c>
      <c r="AG122" s="408">
        <f>IF(AG$114="","",SUMIFS($D$63:$D$82,$C$63:$C$82,'Detailed Feasibility'!$B122,$I$63:$I$82,'Detailed Feasibility'!AG$114))</f>
        <v>0</v>
      </c>
      <c r="AH122" s="408">
        <f>IF(AH$114="","",SUMIFS($D$63:$D$82,$C$63:$C$82,'Detailed Feasibility'!$B122,$I$63:$I$82,'Detailed Feasibility'!AH$114))</f>
        <v>0</v>
      </c>
      <c r="AI122" s="408">
        <f>IF(AI$114="","",SUMIFS($D$63:$D$82,$C$63:$C$82,'Detailed Feasibility'!$B122,$I$63:$I$82,'Detailed Feasibility'!AI$114))</f>
        <v>0</v>
      </c>
      <c r="AJ122" s="408">
        <f>IF(AJ$114="","",SUMIFS($D$63:$D$82,$C$63:$C$82,'Detailed Feasibility'!$B122,$I$63:$I$82,'Detailed Feasibility'!AJ$114))</f>
        <v>0</v>
      </c>
      <c r="AK122" s="408">
        <f>IF(AK$114="","",SUMIFS($D$63:$D$82,$C$63:$C$82,'Detailed Feasibility'!$B122,$I$63:$I$82,'Detailed Feasibility'!AK$114))</f>
        <v>0</v>
      </c>
      <c r="AL122" s="408">
        <f>IF(AL$114="","",SUMIFS($D$63:$D$82,$C$63:$C$82,'Detailed Feasibility'!$B122,$I$63:$I$82,'Detailed Feasibility'!AL$114))</f>
        <v>0</v>
      </c>
      <c r="AM122" s="408">
        <f>IF(AM$114="","",SUMIFS($D$63:$D$82,$C$63:$C$82,'Detailed Feasibility'!$B122,$I$63:$I$82,'Detailed Feasibility'!AM$114))</f>
        <v>0</v>
      </c>
      <c r="AN122" s="408">
        <f>IF(AN$114="","",SUMIFS($D$63:$D$82,$C$63:$C$82,'Detailed Feasibility'!$B122,$I$63:$I$82,'Detailed Feasibility'!AN$114))</f>
        <v>0</v>
      </c>
      <c r="AO122" s="408">
        <f>IF(AO$114="","",SUMIFS($D$63:$D$82,$C$63:$C$82,'Detailed Feasibility'!$B122,$I$63:$I$82,'Detailed Feasibility'!AO$114))</f>
        <v>0</v>
      </c>
      <c r="AP122" s="408">
        <f>IF(AP$114="","",SUMIFS($D$63:$D$82,$C$63:$C$82,'Detailed Feasibility'!$B122,$I$63:$I$82,'Detailed Feasibility'!AP$114))</f>
        <v>0</v>
      </c>
      <c r="AQ122" s="408" t="str">
        <f>IF(AQ$114="","",SUMIFS($D$63:$D$82,$C$63:$C$82,'Detailed Feasibility'!$B122,$I$63:$I$82,'Detailed Feasibility'!AQ$114))</f>
        <v/>
      </c>
      <c r="AR122" s="408" t="str">
        <f>IF(AR$114="","",SUMIFS($D$63:$D$82,$C$63:$C$82,'Detailed Feasibility'!$B122,$I$63:$I$82,'Detailed Feasibility'!AR$114))</f>
        <v/>
      </c>
      <c r="AS122" s="408" t="str">
        <f>IF(AS$114="","",SUMIFS($D$63:$D$82,$C$63:$C$82,'Detailed Feasibility'!$B122,$I$63:$I$82,'Detailed Feasibility'!AS$114))</f>
        <v/>
      </c>
      <c r="AT122" s="408" t="str">
        <f>IF(AT$114="","",SUMIFS($D$63:$D$82,$C$63:$C$82,'Detailed Feasibility'!$B122,$I$63:$I$82,'Detailed Feasibility'!AT$114))</f>
        <v/>
      </c>
      <c r="AU122" s="408" t="str">
        <f>IF(AU$114="","",SUMIFS($D$63:$D$82,$C$63:$C$82,'Detailed Feasibility'!$B122,$I$63:$I$82,'Detailed Feasibility'!AU$114))</f>
        <v/>
      </c>
      <c r="AV122" s="408" t="str">
        <f>IF(AV$114="","",SUMIFS($D$63:$D$82,$C$63:$C$82,'Detailed Feasibility'!$B122,$I$63:$I$82,'Detailed Feasibility'!AV$114))</f>
        <v/>
      </c>
      <c r="AW122" s="408" t="str">
        <f>IF(AW$114="","",SUMIFS($D$63:$D$82,$C$63:$C$82,'Detailed Feasibility'!$B122,$I$63:$I$82,'Detailed Feasibility'!AW$114))</f>
        <v/>
      </c>
      <c r="AX122" s="408" t="str">
        <f>IF(AX$114="","",SUMIFS($D$63:$D$82,$C$63:$C$82,'Detailed Feasibility'!$B122,$I$63:$I$82,'Detailed Feasibility'!AX$114))</f>
        <v/>
      </c>
      <c r="AY122" s="408" t="str">
        <f>IF(AY$114="","",SUMIFS($D$63:$D$82,$C$63:$C$82,'Detailed Feasibility'!$B122,$I$63:$I$82,'Detailed Feasibility'!AY$114))</f>
        <v/>
      </c>
      <c r="AZ122" s="408" t="str">
        <f>IF(AZ$114="","",SUMIFS($D$63:$D$82,$C$63:$C$82,'Detailed Feasibility'!$B122,$I$63:$I$82,'Detailed Feasibility'!AZ$114))</f>
        <v/>
      </c>
      <c r="BA122" s="408" t="str">
        <f>IF(BA$114="","",SUMIFS($D$63:$D$82,$C$63:$C$82,'Detailed Feasibility'!$B122,$I$63:$I$82,'Detailed Feasibility'!BA$114))</f>
        <v/>
      </c>
      <c r="BB122" s="408" t="str">
        <f>IF(BB$114="","",SUMIFS($D$63:$D$82,$C$63:$C$82,'Detailed Feasibility'!$B122,$I$63:$I$82,'Detailed Feasibility'!BB$114))</f>
        <v/>
      </c>
      <c r="BC122" s="408" t="str">
        <f>IF(BC$114="","",SUMIFS($D$63:$D$82,$C$63:$C$82,'Detailed Feasibility'!$B122,$I$63:$I$82,'Detailed Feasibility'!BC$114))</f>
        <v/>
      </c>
      <c r="BD122" s="408" t="str">
        <f>IF(BD$114="","",SUMIFS($D$63:$D$82,$C$63:$C$82,'Detailed Feasibility'!$B122,$I$63:$I$82,'Detailed Feasibility'!BD$114))</f>
        <v/>
      </c>
      <c r="BE122" s="408" t="str">
        <f>IF(BE$114="","",SUMIFS($D$63:$D$82,$C$63:$C$82,'Detailed Feasibility'!$B122,$I$63:$I$82,'Detailed Feasibility'!BE$114))</f>
        <v/>
      </c>
      <c r="BF122" s="408" t="str">
        <f>IF(BF$114="","",SUMIFS($D$63:$D$82,$C$63:$C$82,'Detailed Feasibility'!$B122,$I$63:$I$82,'Detailed Feasibility'!BF$114))</f>
        <v/>
      </c>
      <c r="BG122" s="408" t="str">
        <f>IF(BG$114="","",SUMIFS($D$63:$D$82,$C$63:$C$82,'Detailed Feasibility'!$B122,$I$63:$I$82,'Detailed Feasibility'!BG$114))</f>
        <v/>
      </c>
      <c r="BH122" s="408" t="str">
        <f>IF(BH$114="","",SUMIFS($D$63:$D$82,$C$63:$C$82,'Detailed Feasibility'!$B122,$I$63:$I$82,'Detailed Feasibility'!BH$114))</f>
        <v/>
      </c>
      <c r="BI122" s="408" t="str">
        <f>IF(BI$114="","",SUMIFS($D$63:$D$82,$C$63:$C$82,'Detailed Feasibility'!$B122,$I$63:$I$82,'Detailed Feasibility'!BI$114))</f>
        <v/>
      </c>
      <c r="BJ122" s="408" t="str">
        <f>IF(BJ$114="","",SUMIFS($D$63:$D$82,$C$63:$C$82,'Detailed Feasibility'!$B122,$I$63:$I$82,'Detailed Feasibility'!BJ$114))</f>
        <v/>
      </c>
      <c r="BK122" s="408" t="str">
        <f>IF(BK$114="","",SUMIFS($D$63:$D$82,$C$63:$C$82,'Detailed Feasibility'!$B122,$I$63:$I$82,'Detailed Feasibility'!BK$114))</f>
        <v/>
      </c>
      <c r="BL122" s="408" t="str">
        <f>IF(BL$114="","",SUMIFS($D$63:$D$82,$C$63:$C$82,'Detailed Feasibility'!$B122,$I$63:$I$82,'Detailed Feasibility'!BL$114))</f>
        <v/>
      </c>
      <c r="BM122" s="409" t="str">
        <f>IF(BM$114="","",SUMIFS($D$63:$D$82,$C$63:$C$82,'Detailed Feasibility'!$B122,$I$63:$I$82,'Detailed Feasibility'!BM$114))</f>
        <v/>
      </c>
    </row>
    <row r="123" spans="2:65" s="307" customFormat="1" x14ac:dyDescent="0.45">
      <c r="B123" s="99" t="s">
        <v>284</v>
      </c>
      <c r="C123" s="406"/>
      <c r="D123" s="345">
        <f>SUM(D117:D122)-(SUM(D117:D122)/1.15)</f>
        <v>763304.34782608692</v>
      </c>
      <c r="E123" s="407"/>
      <c r="F123" s="408">
        <f>SUM(F117:F122)-(SUM(F117:F122)/1.15)</f>
        <v>0</v>
      </c>
      <c r="G123" s="408">
        <f>IF(G$114="","",SUM(G117:G122)-(SUM(G117:G122)/1.15))</f>
        <v>0</v>
      </c>
      <c r="H123" s="408">
        <f>IF(H$114="","",SUM(H117:H122)-(SUM(H117:H122)/1.15))</f>
        <v>0</v>
      </c>
      <c r="I123" s="408">
        <f t="shared" ref="I123:BM123" si="11">IF(I$114="","",SUM(I117:I122)-(SUM(I117:I122)/1.15))</f>
        <v>0</v>
      </c>
      <c r="J123" s="408">
        <f t="shared" si="11"/>
        <v>0</v>
      </c>
      <c r="K123" s="408">
        <f t="shared" si="11"/>
        <v>0</v>
      </c>
      <c r="L123" s="408">
        <f t="shared" si="11"/>
        <v>0</v>
      </c>
      <c r="M123" s="408">
        <f t="shared" si="11"/>
        <v>0</v>
      </c>
      <c r="N123" s="408">
        <f t="shared" si="11"/>
        <v>0</v>
      </c>
      <c r="O123" s="408">
        <f t="shared" si="11"/>
        <v>0</v>
      </c>
      <c r="P123" s="408">
        <f t="shared" si="11"/>
        <v>0</v>
      </c>
      <c r="Q123" s="408">
        <f t="shared" si="11"/>
        <v>0</v>
      </c>
      <c r="R123" s="408">
        <f t="shared" si="11"/>
        <v>0</v>
      </c>
      <c r="S123" s="408">
        <f t="shared" si="11"/>
        <v>0</v>
      </c>
      <c r="T123" s="408">
        <f t="shared" si="11"/>
        <v>0</v>
      </c>
      <c r="U123" s="408">
        <f t="shared" si="11"/>
        <v>0</v>
      </c>
      <c r="V123" s="408">
        <f t="shared" si="11"/>
        <v>0</v>
      </c>
      <c r="W123" s="408">
        <f t="shared" si="11"/>
        <v>0</v>
      </c>
      <c r="X123" s="408">
        <f>IF(X$114="","",SUM(X117:X122)-(SUM(X117:X122)/1.15))</f>
        <v>220956.52173913037</v>
      </c>
      <c r="Y123" s="408">
        <f t="shared" si="11"/>
        <v>0</v>
      </c>
      <c r="Z123" s="408">
        <f t="shared" si="11"/>
        <v>0</v>
      </c>
      <c r="AA123" s="408">
        <f t="shared" si="11"/>
        <v>0</v>
      </c>
      <c r="AB123" s="408">
        <f t="shared" si="11"/>
        <v>0</v>
      </c>
      <c r="AC123" s="408">
        <f t="shared" si="11"/>
        <v>0</v>
      </c>
      <c r="AD123" s="408">
        <f t="shared" si="11"/>
        <v>0</v>
      </c>
      <c r="AE123" s="408">
        <f>IF(AE$114="","",SUM(AE117:AE122)-(SUM(AE117:AE122)/1.15))</f>
        <v>230999.99999999977</v>
      </c>
      <c r="AF123" s="408">
        <f t="shared" si="11"/>
        <v>0</v>
      </c>
      <c r="AG123" s="408">
        <f t="shared" si="11"/>
        <v>0</v>
      </c>
      <c r="AH123" s="408">
        <f>IF(AH$114="","",SUM(AH117:AH122)-(SUM(AH117:AH122)/1.15))</f>
        <v>311347.82608695631</v>
      </c>
      <c r="AI123" s="408">
        <f t="shared" si="11"/>
        <v>0</v>
      </c>
      <c r="AJ123" s="408">
        <f t="shared" si="11"/>
        <v>0</v>
      </c>
      <c r="AK123" s="408">
        <f t="shared" si="11"/>
        <v>0</v>
      </c>
      <c r="AL123" s="408">
        <f t="shared" si="11"/>
        <v>0</v>
      </c>
      <c r="AM123" s="408">
        <f t="shared" si="11"/>
        <v>0</v>
      </c>
      <c r="AN123" s="408">
        <f t="shared" si="11"/>
        <v>0</v>
      </c>
      <c r="AO123" s="408">
        <f t="shared" si="11"/>
        <v>0</v>
      </c>
      <c r="AP123" s="408">
        <f t="shared" si="11"/>
        <v>0</v>
      </c>
      <c r="AQ123" s="408" t="str">
        <f t="shared" si="11"/>
        <v/>
      </c>
      <c r="AR123" s="408" t="str">
        <f>IF(AR$114="","",SUM(AR117:AR122)-(SUM(AR117:AR122)/1.15))</f>
        <v/>
      </c>
      <c r="AS123" s="408" t="str">
        <f t="shared" si="11"/>
        <v/>
      </c>
      <c r="AT123" s="408" t="str">
        <f t="shared" si="11"/>
        <v/>
      </c>
      <c r="AU123" s="408" t="str">
        <f t="shared" si="11"/>
        <v/>
      </c>
      <c r="AV123" s="408" t="str">
        <f t="shared" si="11"/>
        <v/>
      </c>
      <c r="AW123" s="408" t="str">
        <f t="shared" si="11"/>
        <v/>
      </c>
      <c r="AX123" s="408" t="str">
        <f t="shared" si="11"/>
        <v/>
      </c>
      <c r="AY123" s="408" t="str">
        <f t="shared" si="11"/>
        <v/>
      </c>
      <c r="AZ123" s="408" t="str">
        <f t="shared" si="11"/>
        <v/>
      </c>
      <c r="BA123" s="408" t="str">
        <f t="shared" si="11"/>
        <v/>
      </c>
      <c r="BB123" s="408" t="str">
        <f t="shared" si="11"/>
        <v/>
      </c>
      <c r="BC123" s="408" t="str">
        <f t="shared" si="11"/>
        <v/>
      </c>
      <c r="BD123" s="408" t="str">
        <f t="shared" si="11"/>
        <v/>
      </c>
      <c r="BE123" s="408" t="str">
        <f t="shared" si="11"/>
        <v/>
      </c>
      <c r="BF123" s="408" t="str">
        <f t="shared" si="11"/>
        <v/>
      </c>
      <c r="BG123" s="408" t="str">
        <f t="shared" si="11"/>
        <v/>
      </c>
      <c r="BH123" s="408" t="str">
        <f t="shared" si="11"/>
        <v/>
      </c>
      <c r="BI123" s="408" t="str">
        <f t="shared" si="11"/>
        <v/>
      </c>
      <c r="BJ123" s="408" t="str">
        <f t="shared" si="11"/>
        <v/>
      </c>
      <c r="BK123" s="408" t="str">
        <f t="shared" si="11"/>
        <v/>
      </c>
      <c r="BL123" s="408" t="str">
        <f t="shared" si="11"/>
        <v/>
      </c>
      <c r="BM123" s="409" t="str">
        <f t="shared" si="11"/>
        <v/>
      </c>
    </row>
    <row r="124" spans="2:65" s="307" customFormat="1" x14ac:dyDescent="0.45">
      <c r="B124" s="727" t="s">
        <v>370</v>
      </c>
      <c r="C124" s="728"/>
      <c r="D124" s="345">
        <f>SUM(D117:D122)-D123</f>
        <v>5088695.6521739131</v>
      </c>
      <c r="E124" s="407">
        <f t="shared" ref="E124" si="12">IF(SUM(F124:BM124)=D124,1,0)</f>
        <v>1</v>
      </c>
      <c r="F124" s="408">
        <f>IF(F114="","",SUM(F117:F122)-F123)</f>
        <v>0</v>
      </c>
      <c r="G124" s="408">
        <f t="shared" ref="G124" si="13">IF(G114="","",SUM(G117:G122)-G123)</f>
        <v>0</v>
      </c>
      <c r="H124" s="408">
        <f t="shared" ref="H124:BK124" si="14">IF(H114="","",SUM(H117:H122)-H123)</f>
        <v>0</v>
      </c>
      <c r="I124" s="408">
        <f t="shared" si="14"/>
        <v>0</v>
      </c>
      <c r="J124" s="408">
        <f t="shared" si="14"/>
        <v>0</v>
      </c>
      <c r="K124" s="408">
        <f t="shared" si="14"/>
        <v>0</v>
      </c>
      <c r="L124" s="408">
        <f t="shared" si="14"/>
        <v>0</v>
      </c>
      <c r="M124" s="408">
        <f t="shared" si="14"/>
        <v>0</v>
      </c>
      <c r="N124" s="408">
        <f t="shared" si="14"/>
        <v>0</v>
      </c>
      <c r="O124" s="408">
        <f t="shared" si="14"/>
        <v>0</v>
      </c>
      <c r="P124" s="408">
        <f t="shared" si="14"/>
        <v>0</v>
      </c>
      <c r="Q124" s="408">
        <f t="shared" si="14"/>
        <v>0</v>
      </c>
      <c r="R124" s="408">
        <f t="shared" si="14"/>
        <v>0</v>
      </c>
      <c r="S124" s="408">
        <f t="shared" si="14"/>
        <v>0</v>
      </c>
      <c r="T124" s="408">
        <f t="shared" si="14"/>
        <v>0</v>
      </c>
      <c r="U124" s="408">
        <f t="shared" si="14"/>
        <v>0</v>
      </c>
      <c r="V124" s="408">
        <f t="shared" si="14"/>
        <v>0</v>
      </c>
      <c r="W124" s="408">
        <f t="shared" si="14"/>
        <v>0</v>
      </c>
      <c r="X124" s="408">
        <f t="shared" si="14"/>
        <v>1473043.4782608699</v>
      </c>
      <c r="Y124" s="408">
        <f t="shared" si="14"/>
        <v>0</v>
      </c>
      <c r="Z124" s="408">
        <f t="shared" si="14"/>
        <v>0</v>
      </c>
      <c r="AA124" s="408">
        <f t="shared" si="14"/>
        <v>0</v>
      </c>
      <c r="AB124" s="408">
        <f t="shared" si="14"/>
        <v>0</v>
      </c>
      <c r="AC124" s="408">
        <f t="shared" si="14"/>
        <v>0</v>
      </c>
      <c r="AD124" s="408">
        <f t="shared" si="14"/>
        <v>0</v>
      </c>
      <c r="AE124" s="408">
        <f>IF(AE114="","",SUM(AE117:AE122)-AE123)</f>
        <v>1540000.0000000002</v>
      </c>
      <c r="AF124" s="408">
        <f t="shared" si="14"/>
        <v>0</v>
      </c>
      <c r="AG124" s="408">
        <f t="shared" si="14"/>
        <v>0</v>
      </c>
      <c r="AH124" s="408">
        <f>IF(AH114="","",SUM(AH117:AH122)-AH123)</f>
        <v>2075652.1739130437</v>
      </c>
      <c r="AI124" s="408">
        <f t="shared" si="14"/>
        <v>0</v>
      </c>
      <c r="AJ124" s="408">
        <f t="shared" si="14"/>
        <v>0</v>
      </c>
      <c r="AK124" s="408">
        <f t="shared" si="14"/>
        <v>0</v>
      </c>
      <c r="AL124" s="408">
        <f t="shared" si="14"/>
        <v>0</v>
      </c>
      <c r="AM124" s="408">
        <f t="shared" si="14"/>
        <v>0</v>
      </c>
      <c r="AN124" s="408">
        <f t="shared" si="14"/>
        <v>0</v>
      </c>
      <c r="AO124" s="408">
        <f t="shared" si="14"/>
        <v>0</v>
      </c>
      <c r="AP124" s="408">
        <f t="shared" si="14"/>
        <v>0</v>
      </c>
      <c r="AQ124" s="408" t="str">
        <f t="shared" si="14"/>
        <v/>
      </c>
      <c r="AR124" s="408" t="str">
        <f t="shared" si="14"/>
        <v/>
      </c>
      <c r="AS124" s="408" t="str">
        <f t="shared" si="14"/>
        <v/>
      </c>
      <c r="AT124" s="408" t="str">
        <f t="shared" si="14"/>
        <v/>
      </c>
      <c r="AU124" s="408" t="str">
        <f t="shared" si="14"/>
        <v/>
      </c>
      <c r="AV124" s="408" t="str">
        <f t="shared" si="14"/>
        <v/>
      </c>
      <c r="AW124" s="408" t="str">
        <f t="shared" si="14"/>
        <v/>
      </c>
      <c r="AX124" s="408" t="str">
        <f t="shared" si="14"/>
        <v/>
      </c>
      <c r="AY124" s="408" t="str">
        <f t="shared" si="14"/>
        <v/>
      </c>
      <c r="AZ124" s="408" t="str">
        <f t="shared" si="14"/>
        <v/>
      </c>
      <c r="BA124" s="408" t="str">
        <f t="shared" si="14"/>
        <v/>
      </c>
      <c r="BB124" s="408" t="str">
        <f t="shared" si="14"/>
        <v/>
      </c>
      <c r="BC124" s="408" t="str">
        <f t="shared" si="14"/>
        <v/>
      </c>
      <c r="BD124" s="408" t="str">
        <f t="shared" si="14"/>
        <v/>
      </c>
      <c r="BE124" s="408" t="str">
        <f t="shared" si="14"/>
        <v/>
      </c>
      <c r="BF124" s="408" t="str">
        <f t="shared" si="14"/>
        <v/>
      </c>
      <c r="BG124" s="408" t="str">
        <f t="shared" si="14"/>
        <v/>
      </c>
      <c r="BH124" s="408" t="str">
        <f t="shared" si="14"/>
        <v/>
      </c>
      <c r="BI124" s="408" t="str">
        <f t="shared" si="14"/>
        <v/>
      </c>
      <c r="BJ124" s="408" t="str">
        <f t="shared" si="14"/>
        <v/>
      </c>
      <c r="BK124" s="408" t="str">
        <f t="shared" si="14"/>
        <v/>
      </c>
      <c r="BL124" s="408" t="str">
        <f>IF(BL114="","",SUM(BL117:BL122)-BL123)</f>
        <v/>
      </c>
      <c r="BM124" s="409" t="str">
        <f>IF(BM$114="","",SUMIFS($D$63:$D$84,$C$63:$C$84,'Detailed Feasibility'!$B$117,$J$63:$J$102,'Detailed Feasibility'!BM121))</f>
        <v/>
      </c>
    </row>
    <row r="125" spans="2:65" s="307" customFormat="1" x14ac:dyDescent="0.45">
      <c r="B125" s="155" t="s">
        <v>384</v>
      </c>
      <c r="C125" s="299"/>
      <c r="D125" s="301"/>
      <c r="E125" s="601"/>
      <c r="F125" s="615">
        <f>IF(F114="","",F124)</f>
        <v>0</v>
      </c>
      <c r="G125" s="615">
        <f>IF(G114="","",G124)</f>
        <v>0</v>
      </c>
      <c r="H125" s="615">
        <f>IF(H114="","",H124)</f>
        <v>0</v>
      </c>
      <c r="I125" s="615">
        <f>IF(I114="","",I124)</f>
        <v>0</v>
      </c>
      <c r="J125" s="615">
        <f t="shared" ref="J125:BM125" si="15">IF(J114="","",J124)</f>
        <v>0</v>
      </c>
      <c r="K125" s="615">
        <f t="shared" si="15"/>
        <v>0</v>
      </c>
      <c r="L125" s="615">
        <f t="shared" si="15"/>
        <v>0</v>
      </c>
      <c r="M125" s="615">
        <f t="shared" si="15"/>
        <v>0</v>
      </c>
      <c r="N125" s="615">
        <f t="shared" si="15"/>
        <v>0</v>
      </c>
      <c r="O125" s="615">
        <f t="shared" si="15"/>
        <v>0</v>
      </c>
      <c r="P125" s="615">
        <f t="shared" si="15"/>
        <v>0</v>
      </c>
      <c r="Q125" s="615">
        <f t="shared" si="15"/>
        <v>0</v>
      </c>
      <c r="R125" s="615">
        <f t="shared" si="15"/>
        <v>0</v>
      </c>
      <c r="S125" s="615">
        <f t="shared" si="15"/>
        <v>0</v>
      </c>
      <c r="T125" s="615">
        <f t="shared" si="15"/>
        <v>0</v>
      </c>
      <c r="U125" s="615">
        <f t="shared" si="15"/>
        <v>0</v>
      </c>
      <c r="V125" s="615">
        <f t="shared" si="15"/>
        <v>0</v>
      </c>
      <c r="W125" s="615">
        <f t="shared" si="15"/>
        <v>0</v>
      </c>
      <c r="X125" s="615">
        <f t="shared" si="15"/>
        <v>1473043.4782608699</v>
      </c>
      <c r="Y125" s="615">
        <f t="shared" si="15"/>
        <v>0</v>
      </c>
      <c r="Z125" s="615">
        <f t="shared" si="15"/>
        <v>0</v>
      </c>
      <c r="AA125" s="615">
        <f t="shared" si="15"/>
        <v>0</v>
      </c>
      <c r="AB125" s="615">
        <f t="shared" si="15"/>
        <v>0</v>
      </c>
      <c r="AC125" s="615">
        <f t="shared" si="15"/>
        <v>0</v>
      </c>
      <c r="AD125" s="615">
        <f t="shared" si="15"/>
        <v>0</v>
      </c>
      <c r="AE125" s="615">
        <f>IF(AE114="","",AE124)</f>
        <v>1540000.0000000002</v>
      </c>
      <c r="AF125" s="615">
        <f t="shared" si="15"/>
        <v>0</v>
      </c>
      <c r="AG125" s="615">
        <f t="shared" si="15"/>
        <v>0</v>
      </c>
      <c r="AH125" s="615">
        <f>IF(AH114="","",AH124)</f>
        <v>2075652.1739130437</v>
      </c>
      <c r="AI125" s="615">
        <f t="shared" si="15"/>
        <v>0</v>
      </c>
      <c r="AJ125" s="615">
        <f t="shared" si="15"/>
        <v>0</v>
      </c>
      <c r="AK125" s="615">
        <f t="shared" si="15"/>
        <v>0</v>
      </c>
      <c r="AL125" s="615">
        <f t="shared" si="15"/>
        <v>0</v>
      </c>
      <c r="AM125" s="615">
        <f t="shared" si="15"/>
        <v>0</v>
      </c>
      <c r="AN125" s="615">
        <f t="shared" si="15"/>
        <v>0</v>
      </c>
      <c r="AO125" s="615">
        <f t="shared" si="15"/>
        <v>0</v>
      </c>
      <c r="AP125" s="615">
        <f t="shared" si="15"/>
        <v>0</v>
      </c>
      <c r="AQ125" s="615" t="str">
        <f t="shared" si="15"/>
        <v/>
      </c>
      <c r="AR125" s="615" t="str">
        <f t="shared" si="15"/>
        <v/>
      </c>
      <c r="AS125" s="615" t="str">
        <f t="shared" si="15"/>
        <v/>
      </c>
      <c r="AT125" s="615" t="str">
        <f t="shared" si="15"/>
        <v/>
      </c>
      <c r="AU125" s="615" t="str">
        <f t="shared" si="15"/>
        <v/>
      </c>
      <c r="AV125" s="615" t="str">
        <f t="shared" si="15"/>
        <v/>
      </c>
      <c r="AW125" s="615" t="str">
        <f t="shared" si="15"/>
        <v/>
      </c>
      <c r="AX125" s="615" t="str">
        <f t="shared" si="15"/>
        <v/>
      </c>
      <c r="AY125" s="615" t="str">
        <f t="shared" si="15"/>
        <v/>
      </c>
      <c r="AZ125" s="615" t="str">
        <f t="shared" si="15"/>
        <v/>
      </c>
      <c r="BA125" s="615" t="str">
        <f t="shared" si="15"/>
        <v/>
      </c>
      <c r="BB125" s="615" t="str">
        <f t="shared" si="15"/>
        <v/>
      </c>
      <c r="BC125" s="615" t="str">
        <f t="shared" si="15"/>
        <v/>
      </c>
      <c r="BD125" s="615" t="str">
        <f t="shared" si="15"/>
        <v/>
      </c>
      <c r="BE125" s="615" t="str">
        <f t="shared" si="15"/>
        <v/>
      </c>
      <c r="BF125" s="615" t="str">
        <f t="shared" si="15"/>
        <v/>
      </c>
      <c r="BG125" s="615" t="str">
        <f t="shared" si="15"/>
        <v/>
      </c>
      <c r="BH125" s="615" t="str">
        <f t="shared" si="15"/>
        <v/>
      </c>
      <c r="BI125" s="615" t="str">
        <f t="shared" si="15"/>
        <v/>
      </c>
      <c r="BJ125" s="615" t="str">
        <f t="shared" si="15"/>
        <v/>
      </c>
      <c r="BK125" s="615" t="str">
        <f t="shared" si="15"/>
        <v/>
      </c>
      <c r="BL125" s="615" t="str">
        <f t="shared" si="15"/>
        <v/>
      </c>
      <c r="BM125" s="616" t="str">
        <f t="shared" si="15"/>
        <v/>
      </c>
    </row>
    <row r="126" spans="2:65" s="307" customFormat="1" x14ac:dyDescent="0.45">
      <c r="B126" s="405" t="s">
        <v>278</v>
      </c>
      <c r="C126" s="261"/>
      <c r="D126" s="262"/>
      <c r="E126" s="262"/>
      <c r="F126" s="262"/>
      <c r="G126" s="262"/>
      <c r="H126" s="262"/>
      <c r="I126" s="262"/>
      <c r="J126" s="262"/>
      <c r="K126" s="262"/>
      <c r="L126" s="262"/>
      <c r="M126" s="262"/>
      <c r="N126" s="262"/>
      <c r="O126" s="262"/>
      <c r="P126" s="262"/>
      <c r="Q126" s="262"/>
      <c r="R126" s="262"/>
      <c r="S126" s="262"/>
      <c r="T126" s="262"/>
      <c r="U126" s="262"/>
      <c r="V126" s="262"/>
      <c r="W126" s="262"/>
      <c r="X126" s="262"/>
      <c r="Y126" s="262"/>
      <c r="Z126" s="262"/>
      <c r="AA126" s="262"/>
      <c r="AB126" s="262"/>
      <c r="AC126" s="262"/>
      <c r="AD126" s="262"/>
      <c r="AE126" s="262"/>
      <c r="AF126" s="262"/>
      <c r="AG126" s="262"/>
      <c r="AH126" s="262"/>
      <c r="AI126" s="262"/>
      <c r="AJ126" s="262"/>
      <c r="AK126" s="262"/>
      <c r="AL126" s="424"/>
      <c r="AM126" s="424"/>
      <c r="AN126" s="424"/>
      <c r="AO126" s="424"/>
      <c r="AP126" s="424"/>
      <c r="AQ126" s="424"/>
      <c r="AR126" s="424"/>
      <c r="AS126" s="424"/>
      <c r="AT126" s="424"/>
      <c r="AU126" s="424"/>
      <c r="AV126" s="424"/>
      <c r="AW126" s="424"/>
      <c r="AX126" s="424"/>
      <c r="AY126" s="424"/>
      <c r="AZ126" s="424"/>
      <c r="BA126" s="424"/>
      <c r="BB126" s="424"/>
      <c r="BC126" s="424"/>
      <c r="BD126" s="424"/>
      <c r="BE126" s="424"/>
      <c r="BF126" s="424"/>
      <c r="BG126" s="424"/>
      <c r="BH126" s="424"/>
      <c r="BI126" s="424"/>
      <c r="BJ126" s="424"/>
      <c r="BK126" s="424"/>
      <c r="BL126" s="424"/>
      <c r="BM126" s="617"/>
    </row>
    <row r="127" spans="2:65" s="307" customFormat="1" x14ac:dyDescent="0.45">
      <c r="B127" s="410" t="s">
        <v>290</v>
      </c>
      <c r="C127" s="341" t="str">
        <f>G89</f>
        <v xml:space="preserve">Acquisition Contract </v>
      </c>
      <c r="D127" s="345">
        <f>G98</f>
        <v>1436400</v>
      </c>
      <c r="E127" s="407">
        <f>IF(SUM(F127:BM127)=D127,1,0)</f>
        <v>1</v>
      </c>
      <c r="F127" s="408">
        <f>IF(F114='Detailed Feasibility'!$C$53,'Detailed Feasibility'!$G$98,0)</f>
        <v>1436400</v>
      </c>
      <c r="G127" s="408">
        <f>IF(G114="","",IF(G114='Detailed Feasibility'!$C$53,'Detailed Feasibility'!$G$98,0))</f>
        <v>0</v>
      </c>
      <c r="H127" s="408">
        <f>IF(H114="","",IF(H114='Detailed Feasibility'!$C$53,'Detailed Feasibility'!$G$98,0))</f>
        <v>0</v>
      </c>
      <c r="I127" s="408">
        <f>IF(I114="","",IF(I114='Detailed Feasibility'!$C$53,'Detailed Feasibility'!$G$98,0))</f>
        <v>0</v>
      </c>
      <c r="J127" s="408">
        <f>IF(J114="","",IF(J114='Detailed Feasibility'!$C$53,'Detailed Feasibility'!$G$98,0))</f>
        <v>0</v>
      </c>
      <c r="K127" s="408">
        <f>IF(K114="","",IF(K114='Detailed Feasibility'!$C$53,'Detailed Feasibility'!$G$98,0))</f>
        <v>0</v>
      </c>
      <c r="L127" s="408">
        <f>IF(L114="","",IF(L114='Detailed Feasibility'!$C$53,'Detailed Feasibility'!$G$98,0))</f>
        <v>0</v>
      </c>
      <c r="M127" s="408">
        <f>IF(M114="","",IF(M114='Detailed Feasibility'!$C$53,'Detailed Feasibility'!$G$98,0))</f>
        <v>0</v>
      </c>
      <c r="N127" s="408">
        <f>IF(N114="","",IF(N114='Detailed Feasibility'!$C$53,'Detailed Feasibility'!$G$98,0))</f>
        <v>0</v>
      </c>
      <c r="O127" s="408">
        <f>IF(O114="","",IF(O114='Detailed Feasibility'!$C$53,'Detailed Feasibility'!$G$98,0))</f>
        <v>0</v>
      </c>
      <c r="P127" s="408">
        <f>IF(P114="","",IF(P114='Detailed Feasibility'!$C$53,'Detailed Feasibility'!$G$98,0))</f>
        <v>0</v>
      </c>
      <c r="Q127" s="408">
        <f>IF(Q114="","",IF(Q114='Detailed Feasibility'!$C$53,'Detailed Feasibility'!$G$98,0))</f>
        <v>0</v>
      </c>
      <c r="R127" s="408">
        <f>IF(R114="","",IF(R114='Detailed Feasibility'!$C$53,'Detailed Feasibility'!$G$98,0))</f>
        <v>0</v>
      </c>
      <c r="S127" s="408">
        <f>IF(S114="","",IF(S114='Detailed Feasibility'!$C$53,'Detailed Feasibility'!$G$98,0))</f>
        <v>0</v>
      </c>
      <c r="T127" s="408">
        <f>IF(T114="","",IF(T114='Detailed Feasibility'!$C$53,'Detailed Feasibility'!$G$98,0))</f>
        <v>0</v>
      </c>
      <c r="U127" s="408">
        <f>IF(U114="","",IF(U114='Detailed Feasibility'!$C$53,'Detailed Feasibility'!$G$98,0))</f>
        <v>0</v>
      </c>
      <c r="V127" s="408">
        <f>IF(V114="","",IF(V114='Detailed Feasibility'!$C$53,'Detailed Feasibility'!$G$98,0))</f>
        <v>0</v>
      </c>
      <c r="W127" s="408">
        <f>IF(W114="","",IF(W114='Detailed Feasibility'!$C$53,'Detailed Feasibility'!$G$98,0))</f>
        <v>0</v>
      </c>
      <c r="X127" s="408">
        <f>IF(X114="","",IF(X114='Detailed Feasibility'!$C$53,'Detailed Feasibility'!$G$98,0))</f>
        <v>0</v>
      </c>
      <c r="Y127" s="408">
        <f>IF(Y114="","",IF(Y114='Detailed Feasibility'!$C$53,'Detailed Feasibility'!$G$98,0))</f>
        <v>0</v>
      </c>
      <c r="Z127" s="408">
        <f>IF(Z114="","",IF(Z114='Detailed Feasibility'!$C$53,'Detailed Feasibility'!$G$98,0))</f>
        <v>0</v>
      </c>
      <c r="AA127" s="408">
        <f>IF(AA114="","",IF(AA114='Detailed Feasibility'!$C$53,'Detailed Feasibility'!$G$98,0))</f>
        <v>0</v>
      </c>
      <c r="AB127" s="408">
        <f>IF(AB114="","",IF(AB114='Detailed Feasibility'!$C$53,'Detailed Feasibility'!$G$98,0))</f>
        <v>0</v>
      </c>
      <c r="AC127" s="408">
        <f>IF(AC114="","",IF(AC114='Detailed Feasibility'!$C$53,'Detailed Feasibility'!$G$98,0))</f>
        <v>0</v>
      </c>
      <c r="AD127" s="408">
        <f>IF(AD114="","",IF(AD114='Detailed Feasibility'!$C$53,'Detailed Feasibility'!$G$98,0))</f>
        <v>0</v>
      </c>
      <c r="AE127" s="408">
        <f>IF(AE114="","",IF(AE114='Detailed Feasibility'!$C$53,'Detailed Feasibility'!$G$98,0))</f>
        <v>0</v>
      </c>
      <c r="AF127" s="408">
        <f>IF(AF114="","",IF(AF114='Detailed Feasibility'!$C$53,'Detailed Feasibility'!$G$98,0))</f>
        <v>0</v>
      </c>
      <c r="AG127" s="408">
        <f>IF(AG114="","",IF(AG114='Detailed Feasibility'!$C$53,'Detailed Feasibility'!$G$98,0))</f>
        <v>0</v>
      </c>
      <c r="AH127" s="408">
        <f>IF(AH114="","",IF(AH114='Detailed Feasibility'!$C$53,'Detailed Feasibility'!$G$98,0))</f>
        <v>0</v>
      </c>
      <c r="AI127" s="408">
        <f>IF(AI114="","",IF(AI114='Detailed Feasibility'!$C$53,'Detailed Feasibility'!$G$98,0))</f>
        <v>0</v>
      </c>
      <c r="AJ127" s="408">
        <f>IF(AJ114="","",IF(AJ114='Detailed Feasibility'!$C$53,'Detailed Feasibility'!$G$98,0))</f>
        <v>0</v>
      </c>
      <c r="AK127" s="408">
        <f>IF(AK114="","",IF(AK114='Detailed Feasibility'!$C$53,'Detailed Feasibility'!$G$98,0))</f>
        <v>0</v>
      </c>
      <c r="AL127" s="408">
        <f>IF(AL114="","",IF(AL114='Detailed Feasibility'!$C$53,'Detailed Feasibility'!$G$98,0))</f>
        <v>0</v>
      </c>
      <c r="AM127" s="408">
        <f>IF(AM114="","",IF(AM114='Detailed Feasibility'!$C$53,'Detailed Feasibility'!$G$98,0))</f>
        <v>0</v>
      </c>
      <c r="AN127" s="408">
        <f>IF(AN114="","",IF(AN114='Detailed Feasibility'!$C$53,'Detailed Feasibility'!$G$98,0))</f>
        <v>0</v>
      </c>
      <c r="AO127" s="408">
        <f>IF(AO114="","",IF(AO114='Detailed Feasibility'!$C$53,'Detailed Feasibility'!$G$98,0))</f>
        <v>0</v>
      </c>
      <c r="AP127" s="408">
        <f>IF(AP114="","",IF(AP114='Detailed Feasibility'!$C$53,'Detailed Feasibility'!$G$98,0))</f>
        <v>0</v>
      </c>
      <c r="AQ127" s="408" t="str">
        <f>IF(AQ114="","",IF(AQ114='Detailed Feasibility'!$C$53,'Detailed Feasibility'!$G$98,0))</f>
        <v/>
      </c>
      <c r="AR127" s="408" t="str">
        <f>IF(AR114="","",IF(AR114='Detailed Feasibility'!$C$53,'Detailed Feasibility'!$G$98,0))</f>
        <v/>
      </c>
      <c r="AS127" s="408" t="str">
        <f>IF(AS114="","",IF(AS114='Detailed Feasibility'!$C$53,'Detailed Feasibility'!$G$98,0))</f>
        <v/>
      </c>
      <c r="AT127" s="408" t="str">
        <f>IF(AT114="","",IF(AT114='Detailed Feasibility'!$C$53,'Detailed Feasibility'!$G$98,0))</f>
        <v/>
      </c>
      <c r="AU127" s="408" t="str">
        <f>IF(AU114="","",IF(AU114='Detailed Feasibility'!$C$53,'Detailed Feasibility'!$G$98,0))</f>
        <v/>
      </c>
      <c r="AV127" s="408" t="str">
        <f>IF(AV114="","",IF(AV114='Detailed Feasibility'!$C$53,'Detailed Feasibility'!$G$98,0))</f>
        <v/>
      </c>
      <c r="AW127" s="408" t="str">
        <f>IF(AW114="","",IF(AW114='Detailed Feasibility'!$C$53,'Detailed Feasibility'!$G$98,0))</f>
        <v/>
      </c>
      <c r="AX127" s="408" t="str">
        <f>IF(AX114="","",IF(AX114='Detailed Feasibility'!$C$53,'Detailed Feasibility'!$G$98,0))</f>
        <v/>
      </c>
      <c r="AY127" s="408" t="str">
        <f>IF(AY114="","",IF(AY114='Detailed Feasibility'!$C$53,'Detailed Feasibility'!$G$98,0))</f>
        <v/>
      </c>
      <c r="AZ127" s="408" t="str">
        <f>IF(AZ114="","",IF(AZ114='Detailed Feasibility'!$C$53,'Detailed Feasibility'!$G$98,0))</f>
        <v/>
      </c>
      <c r="BA127" s="408" t="str">
        <f>IF(BA114="","",IF(BA114='Detailed Feasibility'!$C$53,'Detailed Feasibility'!$G$98,0))</f>
        <v/>
      </c>
      <c r="BB127" s="408" t="str">
        <f>IF(BB114="","",IF(BB114='Detailed Feasibility'!$C$53,'Detailed Feasibility'!$G$98,0))</f>
        <v/>
      </c>
      <c r="BC127" s="408" t="str">
        <f>IF(BC114="","",IF(BC114='Detailed Feasibility'!$C$53,'Detailed Feasibility'!$G$98,0))</f>
        <v/>
      </c>
      <c r="BD127" s="408" t="str">
        <f>IF(BD114="","",IF(BD114='Detailed Feasibility'!$C$53,'Detailed Feasibility'!$G$98,0))</f>
        <v/>
      </c>
      <c r="BE127" s="408" t="str">
        <f>IF(BE114="","",IF(BE114='Detailed Feasibility'!$C$53,'Detailed Feasibility'!$G$98,0))</f>
        <v/>
      </c>
      <c r="BF127" s="408" t="str">
        <f>IF(BF114="","",IF(BF114='Detailed Feasibility'!$C$53,'Detailed Feasibility'!$G$98,0))</f>
        <v/>
      </c>
      <c r="BG127" s="408" t="str">
        <f>IF(BG114="","",IF(BG114='Detailed Feasibility'!$C$53,'Detailed Feasibility'!$G$98,0))</f>
        <v/>
      </c>
      <c r="BH127" s="408" t="str">
        <f>IF(BH114="","",IF(BH114='Detailed Feasibility'!$C$53,'Detailed Feasibility'!$G$98,0))</f>
        <v/>
      </c>
      <c r="BI127" s="408" t="str">
        <f>IF(BI114="","",IF(BI114='Detailed Feasibility'!$C$53,'Detailed Feasibility'!$G$98,0))</f>
        <v/>
      </c>
      <c r="BJ127" s="408" t="str">
        <f>IF(BJ114="","",IF(BJ114='Detailed Feasibility'!$C$53,'Detailed Feasibility'!$G$98,0))</f>
        <v/>
      </c>
      <c r="BK127" s="408" t="str">
        <f>IF(BK114="","",IF(BK114='Detailed Feasibility'!$C$53,'Detailed Feasibility'!$G$98,0))</f>
        <v/>
      </c>
      <c r="BL127" s="408" t="str">
        <f>IF(BL114="","",IF(BL114='Detailed Feasibility'!$C$53,'Detailed Feasibility'!$G$98,0))</f>
        <v/>
      </c>
      <c r="BM127" s="409" t="str">
        <f>IF(BM114="","",IF(BM114='Detailed Feasibility'!$C$53,'Detailed Feasibility'!$G$98,0))</f>
        <v/>
      </c>
    </row>
    <row r="128" spans="2:65" s="307" customFormat="1" x14ac:dyDescent="0.45">
      <c r="B128" s="602"/>
      <c r="C128" s="341" t="str">
        <f>H89</f>
        <v xml:space="preserve">Lockup </v>
      </c>
      <c r="D128" s="345">
        <f>H98</f>
        <v>1436400</v>
      </c>
      <c r="E128" s="407">
        <f>IF(SUM(F128:BM128)=D128,1,0)</f>
        <v>1</v>
      </c>
      <c r="F128" s="408">
        <f>SUMIF($G$63:$G$84,F114,$L$63:$L$84)</f>
        <v>0</v>
      </c>
      <c r="G128" s="408">
        <f t="shared" ref="G128:AL128" si="16">IF(G114="","",SUMIF($G$63:$G$82,G114,$L$63:$L$82))</f>
        <v>0</v>
      </c>
      <c r="H128" s="408">
        <f t="shared" si="16"/>
        <v>0</v>
      </c>
      <c r="I128" s="408">
        <f t="shared" si="16"/>
        <v>0</v>
      </c>
      <c r="J128" s="408">
        <f t="shared" si="16"/>
        <v>0</v>
      </c>
      <c r="K128" s="408">
        <f t="shared" si="16"/>
        <v>0</v>
      </c>
      <c r="L128" s="408">
        <f t="shared" si="16"/>
        <v>0</v>
      </c>
      <c r="M128" s="408">
        <f t="shared" si="16"/>
        <v>0</v>
      </c>
      <c r="N128" s="408">
        <f t="shared" si="16"/>
        <v>0</v>
      </c>
      <c r="O128" s="408">
        <f t="shared" si="16"/>
        <v>0</v>
      </c>
      <c r="P128" s="408">
        <f t="shared" si="16"/>
        <v>0</v>
      </c>
      <c r="Q128" s="408">
        <f t="shared" si="16"/>
        <v>0</v>
      </c>
      <c r="R128" s="408">
        <f t="shared" si="16"/>
        <v>0</v>
      </c>
      <c r="S128" s="408">
        <f t="shared" si="16"/>
        <v>0</v>
      </c>
      <c r="T128" s="408">
        <f t="shared" si="16"/>
        <v>0</v>
      </c>
      <c r="U128" s="408">
        <f t="shared" si="16"/>
        <v>0</v>
      </c>
      <c r="V128" s="408">
        <f t="shared" si="16"/>
        <v>415799.99999999994</v>
      </c>
      <c r="W128" s="408">
        <f t="shared" si="16"/>
        <v>0</v>
      </c>
      <c r="X128" s="408">
        <f t="shared" si="16"/>
        <v>0</v>
      </c>
      <c r="Y128" s="408">
        <f t="shared" si="16"/>
        <v>0</v>
      </c>
      <c r="Z128" s="408">
        <f t="shared" si="16"/>
        <v>0</v>
      </c>
      <c r="AA128" s="408">
        <f t="shared" si="16"/>
        <v>0</v>
      </c>
      <c r="AB128" s="408">
        <f t="shared" si="16"/>
        <v>0</v>
      </c>
      <c r="AC128" s="408">
        <f t="shared" si="16"/>
        <v>434699.99999999994</v>
      </c>
      <c r="AD128" s="408">
        <f t="shared" si="16"/>
        <v>0</v>
      </c>
      <c r="AE128" s="408">
        <f t="shared" si="16"/>
        <v>0</v>
      </c>
      <c r="AF128" s="408">
        <f t="shared" si="16"/>
        <v>585900</v>
      </c>
      <c r="AG128" s="408">
        <f t="shared" si="16"/>
        <v>0</v>
      </c>
      <c r="AH128" s="408">
        <f t="shared" si="16"/>
        <v>0</v>
      </c>
      <c r="AI128" s="408">
        <f t="shared" si="16"/>
        <v>0</v>
      </c>
      <c r="AJ128" s="408">
        <f t="shared" si="16"/>
        <v>0</v>
      </c>
      <c r="AK128" s="408">
        <f t="shared" si="16"/>
        <v>0</v>
      </c>
      <c r="AL128" s="408">
        <f t="shared" si="16"/>
        <v>0</v>
      </c>
      <c r="AM128" s="408">
        <f t="shared" ref="AM128:BM128" si="17">IF(AM114="","",SUMIF($G$63:$G$82,AM114,$L$63:$L$82))</f>
        <v>0</v>
      </c>
      <c r="AN128" s="408">
        <f t="shared" si="17"/>
        <v>0</v>
      </c>
      <c r="AO128" s="408">
        <f t="shared" si="17"/>
        <v>0</v>
      </c>
      <c r="AP128" s="408">
        <f t="shared" si="17"/>
        <v>0</v>
      </c>
      <c r="AQ128" s="408" t="str">
        <f t="shared" si="17"/>
        <v/>
      </c>
      <c r="AR128" s="408" t="str">
        <f t="shared" si="17"/>
        <v/>
      </c>
      <c r="AS128" s="408" t="str">
        <f t="shared" si="17"/>
        <v/>
      </c>
      <c r="AT128" s="408" t="str">
        <f t="shared" si="17"/>
        <v/>
      </c>
      <c r="AU128" s="408" t="str">
        <f t="shared" si="17"/>
        <v/>
      </c>
      <c r="AV128" s="408" t="str">
        <f t="shared" si="17"/>
        <v/>
      </c>
      <c r="AW128" s="408" t="str">
        <f t="shared" si="17"/>
        <v/>
      </c>
      <c r="AX128" s="408" t="str">
        <f t="shared" si="17"/>
        <v/>
      </c>
      <c r="AY128" s="408" t="str">
        <f t="shared" si="17"/>
        <v/>
      </c>
      <c r="AZ128" s="408" t="str">
        <f t="shared" si="17"/>
        <v/>
      </c>
      <c r="BA128" s="408" t="str">
        <f t="shared" si="17"/>
        <v/>
      </c>
      <c r="BB128" s="408" t="str">
        <f t="shared" si="17"/>
        <v/>
      </c>
      <c r="BC128" s="408" t="str">
        <f t="shared" si="17"/>
        <v/>
      </c>
      <c r="BD128" s="408" t="str">
        <f t="shared" si="17"/>
        <v/>
      </c>
      <c r="BE128" s="408" t="str">
        <f t="shared" si="17"/>
        <v/>
      </c>
      <c r="BF128" s="408" t="str">
        <f t="shared" si="17"/>
        <v/>
      </c>
      <c r="BG128" s="408" t="str">
        <f t="shared" si="17"/>
        <v/>
      </c>
      <c r="BH128" s="408" t="str">
        <f t="shared" si="17"/>
        <v/>
      </c>
      <c r="BI128" s="408" t="str">
        <f t="shared" si="17"/>
        <v/>
      </c>
      <c r="BJ128" s="408" t="str">
        <f t="shared" si="17"/>
        <v/>
      </c>
      <c r="BK128" s="408" t="str">
        <f t="shared" si="17"/>
        <v/>
      </c>
      <c r="BL128" s="408" t="str">
        <f t="shared" si="17"/>
        <v/>
      </c>
      <c r="BM128" s="409" t="str">
        <f t="shared" si="17"/>
        <v/>
      </c>
    </row>
    <row r="129" spans="2:65" s="307" customFormat="1" x14ac:dyDescent="0.45">
      <c r="B129" s="602"/>
      <c r="C129" s="341" t="str">
        <f>I89</f>
        <v xml:space="preserve">Completion </v>
      </c>
      <c r="D129" s="345">
        <f>I98</f>
        <v>1915200</v>
      </c>
      <c r="E129" s="407">
        <f>IF(SUM(F129:BM129)=D129,1,0)</f>
        <v>1</v>
      </c>
      <c r="F129" s="408">
        <f>SUMIF($H$63:$H$82,F114,$M$63:$M$82)</f>
        <v>0</v>
      </c>
      <c r="G129" s="408">
        <f t="shared" ref="G129:AL129" si="18">IF(G114="","",SUMIF($H$63:$H$82,G114,$M$63:$M$82))</f>
        <v>0</v>
      </c>
      <c r="H129" s="408">
        <f t="shared" si="18"/>
        <v>0</v>
      </c>
      <c r="I129" s="408">
        <f t="shared" si="18"/>
        <v>0</v>
      </c>
      <c r="J129" s="408">
        <f t="shared" si="18"/>
        <v>0</v>
      </c>
      <c r="K129" s="408">
        <f t="shared" si="18"/>
        <v>0</v>
      </c>
      <c r="L129" s="408">
        <f t="shared" si="18"/>
        <v>0</v>
      </c>
      <c r="M129" s="408">
        <f t="shared" si="18"/>
        <v>0</v>
      </c>
      <c r="N129" s="408">
        <f t="shared" si="18"/>
        <v>0</v>
      </c>
      <c r="O129" s="408">
        <f t="shared" si="18"/>
        <v>0</v>
      </c>
      <c r="P129" s="408">
        <f t="shared" si="18"/>
        <v>0</v>
      </c>
      <c r="Q129" s="408">
        <f t="shared" si="18"/>
        <v>0</v>
      </c>
      <c r="R129" s="408">
        <f t="shared" si="18"/>
        <v>0</v>
      </c>
      <c r="S129" s="408">
        <f t="shared" si="18"/>
        <v>0</v>
      </c>
      <c r="T129" s="408">
        <f t="shared" si="18"/>
        <v>0</v>
      </c>
      <c r="U129" s="408">
        <f t="shared" si="18"/>
        <v>0</v>
      </c>
      <c r="V129" s="408">
        <f t="shared" si="18"/>
        <v>0</v>
      </c>
      <c r="W129" s="408">
        <f t="shared" si="18"/>
        <v>554400</v>
      </c>
      <c r="X129" s="408">
        <f t="shared" si="18"/>
        <v>0</v>
      </c>
      <c r="Y129" s="408">
        <f t="shared" si="18"/>
        <v>0</v>
      </c>
      <c r="Z129" s="408">
        <f t="shared" si="18"/>
        <v>0</v>
      </c>
      <c r="AA129" s="408">
        <f t="shared" si="18"/>
        <v>0</v>
      </c>
      <c r="AB129" s="408">
        <f t="shared" si="18"/>
        <v>0</v>
      </c>
      <c r="AC129" s="408">
        <f t="shared" si="18"/>
        <v>0</v>
      </c>
      <c r="AD129" s="408">
        <f t="shared" si="18"/>
        <v>579600</v>
      </c>
      <c r="AE129" s="408">
        <f t="shared" si="18"/>
        <v>0</v>
      </c>
      <c r="AF129" s="408">
        <f t="shared" si="18"/>
        <v>0</v>
      </c>
      <c r="AG129" s="408">
        <f t="shared" si="18"/>
        <v>781200</v>
      </c>
      <c r="AH129" s="408">
        <f t="shared" si="18"/>
        <v>0</v>
      </c>
      <c r="AI129" s="408">
        <f t="shared" si="18"/>
        <v>0</v>
      </c>
      <c r="AJ129" s="408">
        <f t="shared" si="18"/>
        <v>0</v>
      </c>
      <c r="AK129" s="408">
        <f t="shared" si="18"/>
        <v>0</v>
      </c>
      <c r="AL129" s="408">
        <f t="shared" si="18"/>
        <v>0</v>
      </c>
      <c r="AM129" s="408">
        <f t="shared" ref="AM129:BM129" si="19">IF(AM114="","",SUMIF($H$63:$H$82,AM114,$M$63:$M$82))</f>
        <v>0</v>
      </c>
      <c r="AN129" s="408">
        <f t="shared" si="19"/>
        <v>0</v>
      </c>
      <c r="AO129" s="408">
        <f t="shared" si="19"/>
        <v>0</v>
      </c>
      <c r="AP129" s="408">
        <f t="shared" si="19"/>
        <v>0</v>
      </c>
      <c r="AQ129" s="408" t="str">
        <f t="shared" si="19"/>
        <v/>
      </c>
      <c r="AR129" s="408" t="str">
        <f t="shared" si="19"/>
        <v/>
      </c>
      <c r="AS129" s="408" t="str">
        <f t="shared" si="19"/>
        <v/>
      </c>
      <c r="AT129" s="408" t="str">
        <f t="shared" si="19"/>
        <v/>
      </c>
      <c r="AU129" s="408" t="str">
        <f t="shared" si="19"/>
        <v/>
      </c>
      <c r="AV129" s="408" t="str">
        <f t="shared" si="19"/>
        <v/>
      </c>
      <c r="AW129" s="408" t="str">
        <f t="shared" si="19"/>
        <v/>
      </c>
      <c r="AX129" s="408" t="str">
        <f t="shared" si="19"/>
        <v/>
      </c>
      <c r="AY129" s="408" t="str">
        <f t="shared" si="19"/>
        <v/>
      </c>
      <c r="AZ129" s="408" t="str">
        <f t="shared" si="19"/>
        <v/>
      </c>
      <c r="BA129" s="408" t="str">
        <f t="shared" si="19"/>
        <v/>
      </c>
      <c r="BB129" s="408" t="str">
        <f t="shared" si="19"/>
        <v/>
      </c>
      <c r="BC129" s="408" t="str">
        <f t="shared" si="19"/>
        <v/>
      </c>
      <c r="BD129" s="408" t="str">
        <f t="shared" si="19"/>
        <v/>
      </c>
      <c r="BE129" s="408" t="str">
        <f t="shared" si="19"/>
        <v/>
      </c>
      <c r="BF129" s="408" t="str">
        <f t="shared" si="19"/>
        <v/>
      </c>
      <c r="BG129" s="408" t="str">
        <f t="shared" si="19"/>
        <v/>
      </c>
      <c r="BH129" s="408" t="str">
        <f t="shared" si="19"/>
        <v/>
      </c>
      <c r="BI129" s="408" t="str">
        <f t="shared" si="19"/>
        <v/>
      </c>
      <c r="BJ129" s="408" t="str">
        <f t="shared" si="19"/>
        <v/>
      </c>
      <c r="BK129" s="408" t="str">
        <f t="shared" si="19"/>
        <v/>
      </c>
      <c r="BL129" s="408" t="str">
        <f t="shared" si="19"/>
        <v/>
      </c>
      <c r="BM129" s="409" t="str">
        <f t="shared" si="19"/>
        <v/>
      </c>
    </row>
    <row r="130" spans="2:65" s="307" customFormat="1" x14ac:dyDescent="0.45">
      <c r="B130" s="618" t="s">
        <v>386</v>
      </c>
      <c r="C130" s="423"/>
      <c r="D130" s="497"/>
      <c r="E130" s="424"/>
      <c r="F130" s="498"/>
      <c r="G130" s="498"/>
      <c r="H130" s="498"/>
      <c r="I130" s="498"/>
      <c r="J130" s="498"/>
      <c r="K130" s="498"/>
      <c r="L130" s="498"/>
      <c r="M130" s="498"/>
      <c r="N130" s="498"/>
      <c r="O130" s="498"/>
      <c r="P130" s="498"/>
      <c r="Q130" s="498"/>
      <c r="R130" s="498"/>
      <c r="S130" s="498"/>
      <c r="T130" s="498"/>
      <c r="U130" s="498"/>
      <c r="V130" s="498"/>
      <c r="W130" s="498"/>
      <c r="X130" s="498"/>
      <c r="Y130" s="498"/>
      <c r="Z130" s="498"/>
      <c r="AA130" s="498"/>
      <c r="AB130" s="498"/>
      <c r="AC130" s="498"/>
      <c r="AD130" s="498"/>
      <c r="AE130" s="498"/>
      <c r="AF130" s="498"/>
      <c r="AG130" s="498"/>
      <c r="AH130" s="498"/>
      <c r="AI130" s="498"/>
      <c r="AJ130" s="498"/>
      <c r="AK130" s="498"/>
      <c r="AL130" s="498"/>
      <c r="AM130" s="498"/>
      <c r="AN130" s="498"/>
      <c r="AO130" s="498"/>
      <c r="AP130" s="498"/>
      <c r="AQ130" s="498"/>
      <c r="AR130" s="498"/>
      <c r="AS130" s="498"/>
      <c r="AT130" s="498"/>
      <c r="AU130" s="498"/>
      <c r="AV130" s="498"/>
      <c r="AW130" s="498"/>
      <c r="AX130" s="498"/>
      <c r="AY130" s="498"/>
      <c r="AZ130" s="498"/>
      <c r="BA130" s="498"/>
      <c r="BB130" s="498"/>
      <c r="BC130" s="498"/>
      <c r="BD130" s="498"/>
      <c r="BE130" s="498"/>
      <c r="BF130" s="498"/>
      <c r="BG130" s="498"/>
      <c r="BH130" s="498"/>
      <c r="BI130" s="498"/>
      <c r="BJ130" s="498"/>
      <c r="BK130" s="498"/>
      <c r="BL130" s="498"/>
      <c r="BM130" s="418"/>
    </row>
    <row r="131" spans="2:65" s="307" customFormat="1" x14ac:dyDescent="0.45">
      <c r="B131" s="602" t="str">
        <f>B104</f>
        <v xml:space="preserve">Provider Cash Contribution </v>
      </c>
      <c r="C131" s="341"/>
      <c r="D131" s="345">
        <f>D104</f>
        <v>0</v>
      </c>
      <c r="E131" s="407">
        <f>IF(SUM(F131:BM131)=D131,1,0)</f>
        <v>1</v>
      </c>
      <c r="F131" s="408">
        <f>IF(F114=$E$104,$D$104,0)</f>
        <v>0</v>
      </c>
      <c r="G131" s="408">
        <f t="shared" ref="G131:AL131" si="20">IF(G114="","",IF(G114=$E$104,$D$104,0))</f>
        <v>0</v>
      </c>
      <c r="H131" s="408">
        <f t="shared" si="20"/>
        <v>0</v>
      </c>
      <c r="I131" s="408">
        <f t="shared" si="20"/>
        <v>0</v>
      </c>
      <c r="J131" s="408">
        <f t="shared" si="20"/>
        <v>0</v>
      </c>
      <c r="K131" s="408">
        <f t="shared" si="20"/>
        <v>0</v>
      </c>
      <c r="L131" s="408">
        <f t="shared" si="20"/>
        <v>0</v>
      </c>
      <c r="M131" s="408">
        <f t="shared" si="20"/>
        <v>0</v>
      </c>
      <c r="N131" s="408">
        <f t="shared" si="20"/>
        <v>0</v>
      </c>
      <c r="O131" s="408">
        <f t="shared" si="20"/>
        <v>0</v>
      </c>
      <c r="P131" s="408">
        <f t="shared" si="20"/>
        <v>0</v>
      </c>
      <c r="Q131" s="408">
        <f t="shared" si="20"/>
        <v>0</v>
      </c>
      <c r="R131" s="408">
        <f t="shared" si="20"/>
        <v>0</v>
      </c>
      <c r="S131" s="408">
        <f t="shared" si="20"/>
        <v>0</v>
      </c>
      <c r="T131" s="408">
        <f t="shared" si="20"/>
        <v>0</v>
      </c>
      <c r="U131" s="408">
        <f t="shared" si="20"/>
        <v>0</v>
      </c>
      <c r="V131" s="408">
        <f t="shared" si="20"/>
        <v>0</v>
      </c>
      <c r="W131" s="408">
        <f t="shared" si="20"/>
        <v>0</v>
      </c>
      <c r="X131" s="408">
        <f t="shared" si="20"/>
        <v>0</v>
      </c>
      <c r="Y131" s="408">
        <f t="shared" si="20"/>
        <v>0</v>
      </c>
      <c r="Z131" s="408">
        <f t="shared" si="20"/>
        <v>0</v>
      </c>
      <c r="AA131" s="408">
        <f t="shared" si="20"/>
        <v>0</v>
      </c>
      <c r="AB131" s="408">
        <f t="shared" si="20"/>
        <v>0</v>
      </c>
      <c r="AC131" s="408">
        <f t="shared" si="20"/>
        <v>0</v>
      </c>
      <c r="AD131" s="408">
        <f t="shared" si="20"/>
        <v>0</v>
      </c>
      <c r="AE131" s="408">
        <f t="shared" si="20"/>
        <v>0</v>
      </c>
      <c r="AF131" s="408">
        <f t="shared" si="20"/>
        <v>0</v>
      </c>
      <c r="AG131" s="408">
        <f t="shared" si="20"/>
        <v>0</v>
      </c>
      <c r="AH131" s="408">
        <f t="shared" si="20"/>
        <v>0</v>
      </c>
      <c r="AI131" s="408">
        <f t="shared" si="20"/>
        <v>0</v>
      </c>
      <c r="AJ131" s="408">
        <f t="shared" si="20"/>
        <v>0</v>
      </c>
      <c r="AK131" s="408">
        <f t="shared" si="20"/>
        <v>0</v>
      </c>
      <c r="AL131" s="408">
        <f t="shared" si="20"/>
        <v>0</v>
      </c>
      <c r="AM131" s="408">
        <f t="shared" ref="AM131:BM131" si="21">IF(AM114="","",IF(AM114=$E$104,$D$104,0))</f>
        <v>0</v>
      </c>
      <c r="AN131" s="408">
        <f t="shared" si="21"/>
        <v>0</v>
      </c>
      <c r="AO131" s="408">
        <f t="shared" si="21"/>
        <v>0</v>
      </c>
      <c r="AP131" s="408">
        <f t="shared" si="21"/>
        <v>0</v>
      </c>
      <c r="AQ131" s="408" t="str">
        <f t="shared" si="21"/>
        <v/>
      </c>
      <c r="AR131" s="408" t="str">
        <f t="shared" si="21"/>
        <v/>
      </c>
      <c r="AS131" s="408" t="str">
        <f t="shared" si="21"/>
        <v/>
      </c>
      <c r="AT131" s="408" t="str">
        <f t="shared" si="21"/>
        <v/>
      </c>
      <c r="AU131" s="408" t="str">
        <f t="shared" si="21"/>
        <v/>
      </c>
      <c r="AV131" s="408" t="str">
        <f t="shared" si="21"/>
        <v/>
      </c>
      <c r="AW131" s="408" t="str">
        <f t="shared" si="21"/>
        <v/>
      </c>
      <c r="AX131" s="408" t="str">
        <f t="shared" si="21"/>
        <v/>
      </c>
      <c r="AY131" s="408" t="str">
        <f t="shared" si="21"/>
        <v/>
      </c>
      <c r="AZ131" s="408" t="str">
        <f t="shared" si="21"/>
        <v/>
      </c>
      <c r="BA131" s="408" t="str">
        <f t="shared" si="21"/>
        <v/>
      </c>
      <c r="BB131" s="408" t="str">
        <f t="shared" si="21"/>
        <v/>
      </c>
      <c r="BC131" s="408" t="str">
        <f t="shared" si="21"/>
        <v/>
      </c>
      <c r="BD131" s="408" t="str">
        <f t="shared" si="21"/>
        <v/>
      </c>
      <c r="BE131" s="408" t="str">
        <f t="shared" si="21"/>
        <v/>
      </c>
      <c r="BF131" s="408" t="str">
        <f t="shared" si="21"/>
        <v/>
      </c>
      <c r="BG131" s="408" t="str">
        <f t="shared" si="21"/>
        <v/>
      </c>
      <c r="BH131" s="408" t="str">
        <f t="shared" si="21"/>
        <v/>
      </c>
      <c r="BI131" s="408" t="str">
        <f t="shared" si="21"/>
        <v/>
      </c>
      <c r="BJ131" s="408" t="str">
        <f t="shared" si="21"/>
        <v/>
      </c>
      <c r="BK131" s="408" t="str">
        <f t="shared" si="21"/>
        <v/>
      </c>
      <c r="BL131" s="408" t="str">
        <f t="shared" si="21"/>
        <v/>
      </c>
      <c r="BM131" s="409" t="str">
        <f t="shared" si="21"/>
        <v/>
      </c>
    </row>
    <row r="132" spans="2:65" s="307" customFormat="1" x14ac:dyDescent="0.45">
      <c r="B132" s="602" t="str">
        <f>B105</f>
        <v xml:space="preserve">Other Source </v>
      </c>
      <c r="C132" s="341"/>
      <c r="D132" s="345">
        <f>D105</f>
        <v>0</v>
      </c>
      <c r="E132" s="407">
        <f>IF(SUM(F132:BM132)=D132,1,0)</f>
        <v>1</v>
      </c>
      <c r="F132" s="408">
        <f>IF(F114=$E$105,$D$105,0)</f>
        <v>0</v>
      </c>
      <c r="G132" s="408">
        <f t="shared" ref="G132:AL132" si="22">IF(G114="","",IF(G114=$E$105,$D$105,0))</f>
        <v>0</v>
      </c>
      <c r="H132" s="408">
        <f t="shared" si="22"/>
        <v>0</v>
      </c>
      <c r="I132" s="408">
        <f t="shared" si="22"/>
        <v>0</v>
      </c>
      <c r="J132" s="408">
        <f t="shared" si="22"/>
        <v>0</v>
      </c>
      <c r="K132" s="408">
        <f t="shared" si="22"/>
        <v>0</v>
      </c>
      <c r="L132" s="408">
        <f t="shared" si="22"/>
        <v>0</v>
      </c>
      <c r="M132" s="408">
        <f t="shared" si="22"/>
        <v>0</v>
      </c>
      <c r="N132" s="408">
        <f t="shared" si="22"/>
        <v>0</v>
      </c>
      <c r="O132" s="408">
        <f t="shared" si="22"/>
        <v>0</v>
      </c>
      <c r="P132" s="408">
        <f t="shared" si="22"/>
        <v>0</v>
      </c>
      <c r="Q132" s="408">
        <f t="shared" si="22"/>
        <v>0</v>
      </c>
      <c r="R132" s="408">
        <f t="shared" si="22"/>
        <v>0</v>
      </c>
      <c r="S132" s="408">
        <f t="shared" si="22"/>
        <v>0</v>
      </c>
      <c r="T132" s="408">
        <f t="shared" si="22"/>
        <v>0</v>
      </c>
      <c r="U132" s="408">
        <f t="shared" si="22"/>
        <v>0</v>
      </c>
      <c r="V132" s="408">
        <f t="shared" si="22"/>
        <v>0</v>
      </c>
      <c r="W132" s="408">
        <f t="shared" si="22"/>
        <v>0</v>
      </c>
      <c r="X132" s="408">
        <f t="shared" si="22"/>
        <v>0</v>
      </c>
      <c r="Y132" s="408">
        <f t="shared" si="22"/>
        <v>0</v>
      </c>
      <c r="Z132" s="408">
        <f t="shared" si="22"/>
        <v>0</v>
      </c>
      <c r="AA132" s="408">
        <f t="shared" si="22"/>
        <v>0</v>
      </c>
      <c r="AB132" s="408">
        <f t="shared" si="22"/>
        <v>0</v>
      </c>
      <c r="AC132" s="408">
        <f t="shared" si="22"/>
        <v>0</v>
      </c>
      <c r="AD132" s="408">
        <f t="shared" si="22"/>
        <v>0</v>
      </c>
      <c r="AE132" s="408">
        <f t="shared" si="22"/>
        <v>0</v>
      </c>
      <c r="AF132" s="408">
        <f t="shared" si="22"/>
        <v>0</v>
      </c>
      <c r="AG132" s="408">
        <f t="shared" si="22"/>
        <v>0</v>
      </c>
      <c r="AH132" s="408">
        <f t="shared" si="22"/>
        <v>0</v>
      </c>
      <c r="AI132" s="408">
        <f t="shared" si="22"/>
        <v>0</v>
      </c>
      <c r="AJ132" s="408">
        <f t="shared" si="22"/>
        <v>0</v>
      </c>
      <c r="AK132" s="408">
        <f t="shared" si="22"/>
        <v>0</v>
      </c>
      <c r="AL132" s="408">
        <f t="shared" si="22"/>
        <v>0</v>
      </c>
      <c r="AM132" s="408">
        <f t="shared" ref="AM132:BM132" si="23">IF(AM114="","",IF(AM114=$E$105,$D$105,0))</f>
        <v>0</v>
      </c>
      <c r="AN132" s="408">
        <f t="shared" si="23"/>
        <v>0</v>
      </c>
      <c r="AO132" s="408">
        <f t="shared" si="23"/>
        <v>0</v>
      </c>
      <c r="AP132" s="408">
        <f t="shared" si="23"/>
        <v>0</v>
      </c>
      <c r="AQ132" s="408" t="str">
        <f t="shared" si="23"/>
        <v/>
      </c>
      <c r="AR132" s="408" t="str">
        <f t="shared" si="23"/>
        <v/>
      </c>
      <c r="AS132" s="408" t="str">
        <f t="shared" si="23"/>
        <v/>
      </c>
      <c r="AT132" s="408" t="str">
        <f t="shared" si="23"/>
        <v/>
      </c>
      <c r="AU132" s="408" t="str">
        <f t="shared" si="23"/>
        <v/>
      </c>
      <c r="AV132" s="408" t="str">
        <f t="shared" si="23"/>
        <v/>
      </c>
      <c r="AW132" s="408" t="str">
        <f t="shared" si="23"/>
        <v/>
      </c>
      <c r="AX132" s="408" t="str">
        <f t="shared" si="23"/>
        <v/>
      </c>
      <c r="AY132" s="408" t="str">
        <f t="shared" si="23"/>
        <v/>
      </c>
      <c r="AZ132" s="408" t="str">
        <f t="shared" si="23"/>
        <v/>
      </c>
      <c r="BA132" s="408" t="str">
        <f t="shared" si="23"/>
        <v/>
      </c>
      <c r="BB132" s="408" t="str">
        <f t="shared" si="23"/>
        <v/>
      </c>
      <c r="BC132" s="408" t="str">
        <f t="shared" si="23"/>
        <v/>
      </c>
      <c r="BD132" s="408" t="str">
        <f t="shared" si="23"/>
        <v/>
      </c>
      <c r="BE132" s="408" t="str">
        <f t="shared" si="23"/>
        <v/>
      </c>
      <c r="BF132" s="408" t="str">
        <f t="shared" si="23"/>
        <v/>
      </c>
      <c r="BG132" s="408" t="str">
        <f t="shared" si="23"/>
        <v/>
      </c>
      <c r="BH132" s="408" t="str">
        <f t="shared" si="23"/>
        <v/>
      </c>
      <c r="BI132" s="408" t="str">
        <f t="shared" si="23"/>
        <v/>
      </c>
      <c r="BJ132" s="408" t="str">
        <f t="shared" si="23"/>
        <v/>
      </c>
      <c r="BK132" s="408" t="str">
        <f t="shared" si="23"/>
        <v/>
      </c>
      <c r="BL132" s="408" t="str">
        <f t="shared" si="23"/>
        <v/>
      </c>
      <c r="BM132" s="409" t="str">
        <f t="shared" si="23"/>
        <v/>
      </c>
    </row>
    <row r="133" spans="2:65" s="307" customFormat="1" x14ac:dyDescent="0.45">
      <c r="B133" s="602" t="str">
        <f>B106</f>
        <v xml:space="preserve">Other Source </v>
      </c>
      <c r="C133" s="341"/>
      <c r="D133" s="345">
        <f>D106</f>
        <v>0</v>
      </c>
      <c r="E133" s="407">
        <f>IF(SUM(F133:BM133)=D133,1,0)</f>
        <v>1</v>
      </c>
      <c r="F133" s="408">
        <f>IF(F114=$E$106,$D$106,0)</f>
        <v>0</v>
      </c>
      <c r="G133" s="408">
        <f t="shared" ref="G133:AL133" si="24">IF(G114="","",IF(G114=$E$106,$D$106,0))</f>
        <v>0</v>
      </c>
      <c r="H133" s="408">
        <f t="shared" si="24"/>
        <v>0</v>
      </c>
      <c r="I133" s="408">
        <f t="shared" si="24"/>
        <v>0</v>
      </c>
      <c r="J133" s="408">
        <f t="shared" si="24"/>
        <v>0</v>
      </c>
      <c r="K133" s="408">
        <f t="shared" si="24"/>
        <v>0</v>
      </c>
      <c r="L133" s="408">
        <f t="shared" si="24"/>
        <v>0</v>
      </c>
      <c r="M133" s="408">
        <f t="shared" si="24"/>
        <v>0</v>
      </c>
      <c r="N133" s="408">
        <f t="shared" si="24"/>
        <v>0</v>
      </c>
      <c r="O133" s="408">
        <f t="shared" si="24"/>
        <v>0</v>
      </c>
      <c r="P133" s="408">
        <f t="shared" si="24"/>
        <v>0</v>
      </c>
      <c r="Q133" s="408">
        <f t="shared" si="24"/>
        <v>0</v>
      </c>
      <c r="R133" s="408">
        <f t="shared" si="24"/>
        <v>0</v>
      </c>
      <c r="S133" s="408">
        <f t="shared" si="24"/>
        <v>0</v>
      </c>
      <c r="T133" s="408">
        <f t="shared" si="24"/>
        <v>0</v>
      </c>
      <c r="U133" s="408">
        <f t="shared" si="24"/>
        <v>0</v>
      </c>
      <c r="V133" s="408">
        <f t="shared" si="24"/>
        <v>0</v>
      </c>
      <c r="W133" s="408">
        <f t="shared" si="24"/>
        <v>0</v>
      </c>
      <c r="X133" s="408">
        <f t="shared" si="24"/>
        <v>0</v>
      </c>
      <c r="Y133" s="408">
        <f t="shared" si="24"/>
        <v>0</v>
      </c>
      <c r="Z133" s="408">
        <f t="shared" si="24"/>
        <v>0</v>
      </c>
      <c r="AA133" s="408">
        <f t="shared" si="24"/>
        <v>0</v>
      </c>
      <c r="AB133" s="408">
        <f t="shared" si="24"/>
        <v>0</v>
      </c>
      <c r="AC133" s="408">
        <f t="shared" si="24"/>
        <v>0</v>
      </c>
      <c r="AD133" s="408">
        <f t="shared" si="24"/>
        <v>0</v>
      </c>
      <c r="AE133" s="408">
        <f t="shared" si="24"/>
        <v>0</v>
      </c>
      <c r="AF133" s="408">
        <f t="shared" si="24"/>
        <v>0</v>
      </c>
      <c r="AG133" s="408">
        <f t="shared" si="24"/>
        <v>0</v>
      </c>
      <c r="AH133" s="408">
        <f t="shared" si="24"/>
        <v>0</v>
      </c>
      <c r="AI133" s="408">
        <f t="shared" si="24"/>
        <v>0</v>
      </c>
      <c r="AJ133" s="408">
        <f t="shared" si="24"/>
        <v>0</v>
      </c>
      <c r="AK133" s="408">
        <f t="shared" si="24"/>
        <v>0</v>
      </c>
      <c r="AL133" s="408">
        <f t="shared" si="24"/>
        <v>0</v>
      </c>
      <c r="AM133" s="408">
        <f t="shared" ref="AM133:BM133" si="25">IF(AM114="","",IF(AM114=$E$106,$D$106,0))</f>
        <v>0</v>
      </c>
      <c r="AN133" s="408">
        <f t="shared" si="25"/>
        <v>0</v>
      </c>
      <c r="AO133" s="408">
        <f t="shared" si="25"/>
        <v>0</v>
      </c>
      <c r="AP133" s="408">
        <f t="shared" si="25"/>
        <v>0</v>
      </c>
      <c r="AQ133" s="408" t="str">
        <f t="shared" si="25"/>
        <v/>
      </c>
      <c r="AR133" s="408" t="str">
        <f t="shared" si="25"/>
        <v/>
      </c>
      <c r="AS133" s="408" t="str">
        <f t="shared" si="25"/>
        <v/>
      </c>
      <c r="AT133" s="408" t="str">
        <f t="shared" si="25"/>
        <v/>
      </c>
      <c r="AU133" s="408" t="str">
        <f t="shared" si="25"/>
        <v/>
      </c>
      <c r="AV133" s="408" t="str">
        <f t="shared" si="25"/>
        <v/>
      </c>
      <c r="AW133" s="408" t="str">
        <f t="shared" si="25"/>
        <v/>
      </c>
      <c r="AX133" s="408" t="str">
        <f t="shared" si="25"/>
        <v/>
      </c>
      <c r="AY133" s="408" t="str">
        <f t="shared" si="25"/>
        <v/>
      </c>
      <c r="AZ133" s="408" t="str">
        <f t="shared" si="25"/>
        <v/>
      </c>
      <c r="BA133" s="408" t="str">
        <f t="shared" si="25"/>
        <v/>
      </c>
      <c r="BB133" s="408" t="str">
        <f t="shared" si="25"/>
        <v/>
      </c>
      <c r="BC133" s="408" t="str">
        <f t="shared" si="25"/>
        <v/>
      </c>
      <c r="BD133" s="408" t="str">
        <f t="shared" si="25"/>
        <v/>
      </c>
      <c r="BE133" s="408" t="str">
        <f t="shared" si="25"/>
        <v/>
      </c>
      <c r="BF133" s="408" t="str">
        <f t="shared" si="25"/>
        <v/>
      </c>
      <c r="BG133" s="408" t="str">
        <f t="shared" si="25"/>
        <v/>
      </c>
      <c r="BH133" s="408" t="str">
        <f t="shared" si="25"/>
        <v/>
      </c>
      <c r="BI133" s="408" t="str">
        <f t="shared" si="25"/>
        <v/>
      </c>
      <c r="BJ133" s="408" t="str">
        <f t="shared" si="25"/>
        <v/>
      </c>
      <c r="BK133" s="408" t="str">
        <f t="shared" si="25"/>
        <v/>
      </c>
      <c r="BL133" s="408" t="str">
        <f t="shared" si="25"/>
        <v/>
      </c>
      <c r="BM133" s="409" t="str">
        <f t="shared" si="25"/>
        <v/>
      </c>
    </row>
    <row r="134" spans="2:65" s="307" customFormat="1" x14ac:dyDescent="0.45">
      <c r="B134" s="602" t="str">
        <f>B107</f>
        <v xml:space="preserve">Other Source </v>
      </c>
      <c r="C134" s="341"/>
      <c r="D134" s="345">
        <f>D107</f>
        <v>0</v>
      </c>
      <c r="E134" s="407">
        <f>IF(SUM(F134:BM134)=D134,1,0)</f>
        <v>1</v>
      </c>
      <c r="F134" s="408">
        <f>IF(F114=$E$107,$D$107,0)</f>
        <v>0</v>
      </c>
      <c r="G134" s="408">
        <f t="shared" ref="G134:AL134" si="26">IF(G114="","",IF(G114=$E$107,$D$107,0))</f>
        <v>0</v>
      </c>
      <c r="H134" s="408">
        <f t="shared" si="26"/>
        <v>0</v>
      </c>
      <c r="I134" s="408">
        <f t="shared" si="26"/>
        <v>0</v>
      </c>
      <c r="J134" s="408">
        <f t="shared" si="26"/>
        <v>0</v>
      </c>
      <c r="K134" s="408">
        <f t="shared" si="26"/>
        <v>0</v>
      </c>
      <c r="L134" s="408">
        <f t="shared" si="26"/>
        <v>0</v>
      </c>
      <c r="M134" s="408">
        <f t="shared" si="26"/>
        <v>0</v>
      </c>
      <c r="N134" s="408">
        <f t="shared" si="26"/>
        <v>0</v>
      </c>
      <c r="O134" s="408">
        <f t="shared" si="26"/>
        <v>0</v>
      </c>
      <c r="P134" s="408">
        <f t="shared" si="26"/>
        <v>0</v>
      </c>
      <c r="Q134" s="408">
        <f t="shared" si="26"/>
        <v>0</v>
      </c>
      <c r="R134" s="408">
        <f t="shared" si="26"/>
        <v>0</v>
      </c>
      <c r="S134" s="408">
        <f t="shared" si="26"/>
        <v>0</v>
      </c>
      <c r="T134" s="408">
        <f t="shared" si="26"/>
        <v>0</v>
      </c>
      <c r="U134" s="408">
        <f t="shared" si="26"/>
        <v>0</v>
      </c>
      <c r="V134" s="408">
        <f t="shared" si="26"/>
        <v>0</v>
      </c>
      <c r="W134" s="408">
        <f t="shared" si="26"/>
        <v>0</v>
      </c>
      <c r="X134" s="408">
        <f t="shared" si="26"/>
        <v>0</v>
      </c>
      <c r="Y134" s="408">
        <f t="shared" si="26"/>
        <v>0</v>
      </c>
      <c r="Z134" s="408">
        <f t="shared" si="26"/>
        <v>0</v>
      </c>
      <c r="AA134" s="408">
        <f t="shared" si="26"/>
        <v>0</v>
      </c>
      <c r="AB134" s="408">
        <f t="shared" si="26"/>
        <v>0</v>
      </c>
      <c r="AC134" s="408">
        <f t="shared" si="26"/>
        <v>0</v>
      </c>
      <c r="AD134" s="408">
        <f t="shared" si="26"/>
        <v>0</v>
      </c>
      <c r="AE134" s="408">
        <f t="shared" si="26"/>
        <v>0</v>
      </c>
      <c r="AF134" s="408">
        <f t="shared" si="26"/>
        <v>0</v>
      </c>
      <c r="AG134" s="408">
        <f t="shared" si="26"/>
        <v>0</v>
      </c>
      <c r="AH134" s="408">
        <f t="shared" si="26"/>
        <v>0</v>
      </c>
      <c r="AI134" s="408">
        <f t="shared" si="26"/>
        <v>0</v>
      </c>
      <c r="AJ134" s="408">
        <f t="shared" si="26"/>
        <v>0</v>
      </c>
      <c r="AK134" s="408">
        <f t="shared" si="26"/>
        <v>0</v>
      </c>
      <c r="AL134" s="408">
        <f t="shared" si="26"/>
        <v>0</v>
      </c>
      <c r="AM134" s="408">
        <f t="shared" ref="AM134:BM134" si="27">IF(AM114="","",IF(AM114=$E$107,$D$107,0))</f>
        <v>0</v>
      </c>
      <c r="AN134" s="408">
        <f t="shared" si="27"/>
        <v>0</v>
      </c>
      <c r="AO134" s="408">
        <f t="shared" si="27"/>
        <v>0</v>
      </c>
      <c r="AP134" s="408">
        <f t="shared" si="27"/>
        <v>0</v>
      </c>
      <c r="AQ134" s="408" t="str">
        <f t="shared" si="27"/>
        <v/>
      </c>
      <c r="AR134" s="408" t="str">
        <f t="shared" si="27"/>
        <v/>
      </c>
      <c r="AS134" s="408" t="str">
        <f t="shared" si="27"/>
        <v/>
      </c>
      <c r="AT134" s="408" t="str">
        <f t="shared" si="27"/>
        <v/>
      </c>
      <c r="AU134" s="408" t="str">
        <f t="shared" si="27"/>
        <v/>
      </c>
      <c r="AV134" s="408" t="str">
        <f t="shared" si="27"/>
        <v/>
      </c>
      <c r="AW134" s="408" t="str">
        <f t="shared" si="27"/>
        <v/>
      </c>
      <c r="AX134" s="408" t="str">
        <f t="shared" si="27"/>
        <v/>
      </c>
      <c r="AY134" s="408" t="str">
        <f t="shared" si="27"/>
        <v/>
      </c>
      <c r="AZ134" s="408" t="str">
        <f t="shared" si="27"/>
        <v/>
      </c>
      <c r="BA134" s="408" t="str">
        <f t="shared" si="27"/>
        <v/>
      </c>
      <c r="BB134" s="408" t="str">
        <f t="shared" si="27"/>
        <v/>
      </c>
      <c r="BC134" s="408" t="str">
        <f t="shared" si="27"/>
        <v/>
      </c>
      <c r="BD134" s="408" t="str">
        <f t="shared" si="27"/>
        <v/>
      </c>
      <c r="BE134" s="408" t="str">
        <f t="shared" si="27"/>
        <v/>
      </c>
      <c r="BF134" s="408" t="str">
        <f t="shared" si="27"/>
        <v/>
      </c>
      <c r="BG134" s="408" t="str">
        <f t="shared" si="27"/>
        <v/>
      </c>
      <c r="BH134" s="408" t="str">
        <f t="shared" si="27"/>
        <v/>
      </c>
      <c r="BI134" s="408" t="str">
        <f t="shared" si="27"/>
        <v/>
      </c>
      <c r="BJ134" s="408" t="str">
        <f t="shared" si="27"/>
        <v/>
      </c>
      <c r="BK134" s="408" t="str">
        <f t="shared" si="27"/>
        <v/>
      </c>
      <c r="BL134" s="408" t="str">
        <f t="shared" si="27"/>
        <v/>
      </c>
      <c r="BM134" s="409" t="str">
        <f t="shared" si="27"/>
        <v/>
      </c>
    </row>
    <row r="135" spans="2:65" s="307" customFormat="1" x14ac:dyDescent="0.45">
      <c r="B135" s="602" t="str">
        <f>B108</f>
        <v xml:space="preserve">Other Source </v>
      </c>
      <c r="C135" s="341"/>
      <c r="D135" s="345">
        <f>D108</f>
        <v>0</v>
      </c>
      <c r="E135" s="407">
        <f>IF(SUM(F135:BM135)=D135,1,0)</f>
        <v>1</v>
      </c>
      <c r="F135" s="408">
        <f>IF(F114=$E$108,$D$108,0)</f>
        <v>0</v>
      </c>
      <c r="G135" s="408">
        <f t="shared" ref="G135:AL135" si="28">IF(G114="","",IF(G114=$E$108,$D$108,0))</f>
        <v>0</v>
      </c>
      <c r="H135" s="408">
        <f t="shared" si="28"/>
        <v>0</v>
      </c>
      <c r="I135" s="408">
        <f t="shared" si="28"/>
        <v>0</v>
      </c>
      <c r="J135" s="408">
        <f t="shared" si="28"/>
        <v>0</v>
      </c>
      <c r="K135" s="408">
        <f t="shared" si="28"/>
        <v>0</v>
      </c>
      <c r="L135" s="408">
        <f t="shared" si="28"/>
        <v>0</v>
      </c>
      <c r="M135" s="408">
        <f t="shared" si="28"/>
        <v>0</v>
      </c>
      <c r="N135" s="408">
        <f t="shared" si="28"/>
        <v>0</v>
      </c>
      <c r="O135" s="408">
        <f t="shared" si="28"/>
        <v>0</v>
      </c>
      <c r="P135" s="408">
        <f t="shared" si="28"/>
        <v>0</v>
      </c>
      <c r="Q135" s="408">
        <f t="shared" si="28"/>
        <v>0</v>
      </c>
      <c r="R135" s="408">
        <f t="shared" si="28"/>
        <v>0</v>
      </c>
      <c r="S135" s="408">
        <f t="shared" si="28"/>
        <v>0</v>
      </c>
      <c r="T135" s="408">
        <f t="shared" si="28"/>
        <v>0</v>
      </c>
      <c r="U135" s="408">
        <f t="shared" si="28"/>
        <v>0</v>
      </c>
      <c r="V135" s="408">
        <f t="shared" si="28"/>
        <v>0</v>
      </c>
      <c r="W135" s="408">
        <f t="shared" si="28"/>
        <v>0</v>
      </c>
      <c r="X135" s="408">
        <f t="shared" si="28"/>
        <v>0</v>
      </c>
      <c r="Y135" s="408">
        <f t="shared" si="28"/>
        <v>0</v>
      </c>
      <c r="Z135" s="408">
        <f t="shared" si="28"/>
        <v>0</v>
      </c>
      <c r="AA135" s="408">
        <f t="shared" si="28"/>
        <v>0</v>
      </c>
      <c r="AB135" s="408">
        <f t="shared" si="28"/>
        <v>0</v>
      </c>
      <c r="AC135" s="408">
        <f t="shared" si="28"/>
        <v>0</v>
      </c>
      <c r="AD135" s="408">
        <f t="shared" si="28"/>
        <v>0</v>
      </c>
      <c r="AE135" s="408">
        <f t="shared" si="28"/>
        <v>0</v>
      </c>
      <c r="AF135" s="408">
        <f t="shared" si="28"/>
        <v>0</v>
      </c>
      <c r="AG135" s="408">
        <f t="shared" si="28"/>
        <v>0</v>
      </c>
      <c r="AH135" s="408">
        <f t="shared" si="28"/>
        <v>0</v>
      </c>
      <c r="AI135" s="408">
        <f t="shared" si="28"/>
        <v>0</v>
      </c>
      <c r="AJ135" s="408">
        <f t="shared" si="28"/>
        <v>0</v>
      </c>
      <c r="AK135" s="408">
        <f t="shared" si="28"/>
        <v>0</v>
      </c>
      <c r="AL135" s="408">
        <f t="shared" si="28"/>
        <v>0</v>
      </c>
      <c r="AM135" s="408">
        <f t="shared" ref="AM135:BM135" si="29">IF(AM114="","",IF(AM114=$E$108,$D$108,0))</f>
        <v>0</v>
      </c>
      <c r="AN135" s="408">
        <f t="shared" si="29"/>
        <v>0</v>
      </c>
      <c r="AO135" s="408">
        <f t="shared" si="29"/>
        <v>0</v>
      </c>
      <c r="AP135" s="408">
        <f t="shared" si="29"/>
        <v>0</v>
      </c>
      <c r="AQ135" s="408" t="str">
        <f t="shared" si="29"/>
        <v/>
      </c>
      <c r="AR135" s="408" t="str">
        <f t="shared" si="29"/>
        <v/>
      </c>
      <c r="AS135" s="408" t="str">
        <f t="shared" si="29"/>
        <v/>
      </c>
      <c r="AT135" s="408" t="str">
        <f t="shared" si="29"/>
        <v/>
      </c>
      <c r="AU135" s="408" t="str">
        <f t="shared" si="29"/>
        <v/>
      </c>
      <c r="AV135" s="408" t="str">
        <f t="shared" si="29"/>
        <v/>
      </c>
      <c r="AW135" s="408" t="str">
        <f t="shared" si="29"/>
        <v/>
      </c>
      <c r="AX135" s="408" t="str">
        <f t="shared" si="29"/>
        <v/>
      </c>
      <c r="AY135" s="408" t="str">
        <f t="shared" si="29"/>
        <v/>
      </c>
      <c r="AZ135" s="408" t="str">
        <f t="shared" si="29"/>
        <v/>
      </c>
      <c r="BA135" s="408" t="str">
        <f t="shared" si="29"/>
        <v/>
      </c>
      <c r="BB135" s="408" t="str">
        <f t="shared" si="29"/>
        <v/>
      </c>
      <c r="BC135" s="408" t="str">
        <f t="shared" si="29"/>
        <v/>
      </c>
      <c r="BD135" s="408" t="str">
        <f t="shared" si="29"/>
        <v/>
      </c>
      <c r="BE135" s="408" t="str">
        <f t="shared" si="29"/>
        <v/>
      </c>
      <c r="BF135" s="408" t="str">
        <f t="shared" si="29"/>
        <v/>
      </c>
      <c r="BG135" s="408" t="str">
        <f t="shared" si="29"/>
        <v/>
      </c>
      <c r="BH135" s="408" t="str">
        <f t="shared" si="29"/>
        <v/>
      </c>
      <c r="BI135" s="408" t="str">
        <f t="shared" si="29"/>
        <v/>
      </c>
      <c r="BJ135" s="408" t="str">
        <f t="shared" si="29"/>
        <v/>
      </c>
      <c r="BK135" s="408" t="str">
        <f t="shared" si="29"/>
        <v/>
      </c>
      <c r="BL135" s="408" t="str">
        <f t="shared" si="29"/>
        <v/>
      </c>
      <c r="BM135" s="409" t="str">
        <f t="shared" si="29"/>
        <v/>
      </c>
    </row>
    <row r="136" spans="2:65" s="307" customFormat="1" x14ac:dyDescent="0.45">
      <c r="B136" s="410" t="s">
        <v>387</v>
      </c>
      <c r="C136" s="341"/>
      <c r="D136" s="345"/>
      <c r="E136" s="407"/>
      <c r="F136" s="408">
        <f>SUM(F127:F135)</f>
        <v>1436400</v>
      </c>
      <c r="G136" s="408">
        <f>IF(G114="","",SUM(G127:G135))</f>
        <v>0</v>
      </c>
      <c r="H136" s="408">
        <f t="shared" ref="H136:BM136" si="30">IF(H114="","",SUM(H127:H135))</f>
        <v>0</v>
      </c>
      <c r="I136" s="408">
        <f t="shared" si="30"/>
        <v>0</v>
      </c>
      <c r="J136" s="408">
        <f t="shared" si="30"/>
        <v>0</v>
      </c>
      <c r="K136" s="408">
        <f t="shared" si="30"/>
        <v>0</v>
      </c>
      <c r="L136" s="408">
        <f t="shared" si="30"/>
        <v>0</v>
      </c>
      <c r="M136" s="408">
        <f t="shared" si="30"/>
        <v>0</v>
      </c>
      <c r="N136" s="408">
        <f t="shared" si="30"/>
        <v>0</v>
      </c>
      <c r="O136" s="408">
        <f t="shared" si="30"/>
        <v>0</v>
      </c>
      <c r="P136" s="408">
        <f t="shared" si="30"/>
        <v>0</v>
      </c>
      <c r="Q136" s="408">
        <f t="shared" si="30"/>
        <v>0</v>
      </c>
      <c r="R136" s="408">
        <f t="shared" si="30"/>
        <v>0</v>
      </c>
      <c r="S136" s="408">
        <f t="shared" si="30"/>
        <v>0</v>
      </c>
      <c r="T136" s="408">
        <f t="shared" si="30"/>
        <v>0</v>
      </c>
      <c r="U136" s="408">
        <f t="shared" si="30"/>
        <v>0</v>
      </c>
      <c r="V136" s="408">
        <f t="shared" si="30"/>
        <v>415799.99999999994</v>
      </c>
      <c r="W136" s="408">
        <f t="shared" si="30"/>
        <v>554400</v>
      </c>
      <c r="X136" s="408">
        <f t="shared" si="30"/>
        <v>0</v>
      </c>
      <c r="Y136" s="408">
        <f t="shared" si="30"/>
        <v>0</v>
      </c>
      <c r="Z136" s="408">
        <f t="shared" si="30"/>
        <v>0</v>
      </c>
      <c r="AA136" s="408">
        <f t="shared" si="30"/>
        <v>0</v>
      </c>
      <c r="AB136" s="408">
        <f t="shared" si="30"/>
        <v>0</v>
      </c>
      <c r="AC136" s="408">
        <f t="shared" si="30"/>
        <v>434699.99999999994</v>
      </c>
      <c r="AD136" s="408">
        <f t="shared" si="30"/>
        <v>579600</v>
      </c>
      <c r="AE136" s="408">
        <f t="shared" si="30"/>
        <v>0</v>
      </c>
      <c r="AF136" s="408">
        <f t="shared" si="30"/>
        <v>585900</v>
      </c>
      <c r="AG136" s="408">
        <f t="shared" si="30"/>
        <v>781200</v>
      </c>
      <c r="AH136" s="408">
        <f t="shared" si="30"/>
        <v>0</v>
      </c>
      <c r="AI136" s="408">
        <f t="shared" si="30"/>
        <v>0</v>
      </c>
      <c r="AJ136" s="408">
        <f t="shared" si="30"/>
        <v>0</v>
      </c>
      <c r="AK136" s="408">
        <f t="shared" si="30"/>
        <v>0</v>
      </c>
      <c r="AL136" s="408">
        <f t="shared" si="30"/>
        <v>0</v>
      </c>
      <c r="AM136" s="408">
        <f t="shared" si="30"/>
        <v>0</v>
      </c>
      <c r="AN136" s="408">
        <f t="shared" si="30"/>
        <v>0</v>
      </c>
      <c r="AO136" s="408">
        <f t="shared" si="30"/>
        <v>0</v>
      </c>
      <c r="AP136" s="408">
        <f t="shared" si="30"/>
        <v>0</v>
      </c>
      <c r="AQ136" s="408" t="str">
        <f t="shared" si="30"/>
        <v/>
      </c>
      <c r="AR136" s="408" t="str">
        <f t="shared" si="30"/>
        <v/>
      </c>
      <c r="AS136" s="408" t="str">
        <f t="shared" si="30"/>
        <v/>
      </c>
      <c r="AT136" s="408" t="str">
        <f t="shared" si="30"/>
        <v/>
      </c>
      <c r="AU136" s="408" t="str">
        <f t="shared" si="30"/>
        <v/>
      </c>
      <c r="AV136" s="408" t="str">
        <f t="shared" si="30"/>
        <v/>
      </c>
      <c r="AW136" s="408" t="str">
        <f t="shared" si="30"/>
        <v/>
      </c>
      <c r="AX136" s="408" t="str">
        <f t="shared" si="30"/>
        <v/>
      </c>
      <c r="AY136" s="408" t="str">
        <f t="shared" si="30"/>
        <v/>
      </c>
      <c r="AZ136" s="408" t="str">
        <f t="shared" si="30"/>
        <v/>
      </c>
      <c r="BA136" s="408" t="str">
        <f t="shared" si="30"/>
        <v/>
      </c>
      <c r="BB136" s="408" t="str">
        <f t="shared" si="30"/>
        <v/>
      </c>
      <c r="BC136" s="408" t="str">
        <f t="shared" si="30"/>
        <v/>
      </c>
      <c r="BD136" s="408" t="str">
        <f t="shared" si="30"/>
        <v/>
      </c>
      <c r="BE136" s="408" t="str">
        <f t="shared" si="30"/>
        <v/>
      </c>
      <c r="BF136" s="408" t="str">
        <f t="shared" si="30"/>
        <v/>
      </c>
      <c r="BG136" s="408" t="str">
        <f t="shared" si="30"/>
        <v/>
      </c>
      <c r="BH136" s="408" t="str">
        <f t="shared" si="30"/>
        <v/>
      </c>
      <c r="BI136" s="408" t="str">
        <f t="shared" si="30"/>
        <v/>
      </c>
      <c r="BJ136" s="408" t="str">
        <f t="shared" si="30"/>
        <v/>
      </c>
      <c r="BK136" s="408" t="str">
        <f t="shared" si="30"/>
        <v/>
      </c>
      <c r="BL136" s="408" t="str">
        <f t="shared" si="30"/>
        <v/>
      </c>
      <c r="BM136" s="409" t="str">
        <f t="shared" si="30"/>
        <v/>
      </c>
    </row>
    <row r="137" spans="2:65" s="307" customFormat="1" x14ac:dyDescent="0.45">
      <c r="B137" s="633" t="s">
        <v>85</v>
      </c>
      <c r="C137" s="412"/>
      <c r="D137" s="313"/>
      <c r="E137" s="414"/>
      <c r="F137" s="411">
        <f>F125+F136</f>
        <v>1436400</v>
      </c>
      <c r="G137" s="411">
        <f>IF(G114="","",G125+G136)</f>
        <v>0</v>
      </c>
      <c r="H137" s="411">
        <f t="shared" ref="H137:BM137" si="31">IF(H114="","",H125+H136)</f>
        <v>0</v>
      </c>
      <c r="I137" s="411">
        <f t="shared" si="31"/>
        <v>0</v>
      </c>
      <c r="J137" s="411">
        <f t="shared" si="31"/>
        <v>0</v>
      </c>
      <c r="K137" s="411">
        <f t="shared" si="31"/>
        <v>0</v>
      </c>
      <c r="L137" s="411">
        <f t="shared" si="31"/>
        <v>0</v>
      </c>
      <c r="M137" s="411">
        <f t="shared" si="31"/>
        <v>0</v>
      </c>
      <c r="N137" s="411">
        <f t="shared" si="31"/>
        <v>0</v>
      </c>
      <c r="O137" s="411">
        <f t="shared" si="31"/>
        <v>0</v>
      </c>
      <c r="P137" s="411">
        <f t="shared" si="31"/>
        <v>0</v>
      </c>
      <c r="Q137" s="411">
        <f t="shared" si="31"/>
        <v>0</v>
      </c>
      <c r="R137" s="411">
        <f t="shared" si="31"/>
        <v>0</v>
      </c>
      <c r="S137" s="411">
        <f t="shared" si="31"/>
        <v>0</v>
      </c>
      <c r="T137" s="411">
        <f t="shared" si="31"/>
        <v>0</v>
      </c>
      <c r="U137" s="411">
        <f t="shared" si="31"/>
        <v>0</v>
      </c>
      <c r="V137" s="411">
        <f t="shared" si="31"/>
        <v>415799.99999999994</v>
      </c>
      <c r="W137" s="411">
        <f t="shared" si="31"/>
        <v>554400</v>
      </c>
      <c r="X137" s="411">
        <f t="shared" si="31"/>
        <v>1473043.4782608699</v>
      </c>
      <c r="Y137" s="411">
        <f t="shared" si="31"/>
        <v>0</v>
      </c>
      <c r="Z137" s="411">
        <f t="shared" si="31"/>
        <v>0</v>
      </c>
      <c r="AA137" s="411">
        <f t="shared" si="31"/>
        <v>0</v>
      </c>
      <c r="AB137" s="411">
        <f t="shared" si="31"/>
        <v>0</v>
      </c>
      <c r="AC137" s="411">
        <f t="shared" si="31"/>
        <v>434699.99999999994</v>
      </c>
      <c r="AD137" s="411">
        <f t="shared" si="31"/>
        <v>579600</v>
      </c>
      <c r="AE137" s="411">
        <f t="shared" si="31"/>
        <v>1540000.0000000002</v>
      </c>
      <c r="AF137" s="411">
        <f t="shared" si="31"/>
        <v>585900</v>
      </c>
      <c r="AG137" s="411">
        <f t="shared" si="31"/>
        <v>781200</v>
      </c>
      <c r="AH137" s="411">
        <f t="shared" si="31"/>
        <v>2075652.1739130437</v>
      </c>
      <c r="AI137" s="411">
        <f t="shared" si="31"/>
        <v>0</v>
      </c>
      <c r="AJ137" s="411">
        <f t="shared" si="31"/>
        <v>0</v>
      </c>
      <c r="AK137" s="411">
        <f t="shared" si="31"/>
        <v>0</v>
      </c>
      <c r="AL137" s="411">
        <f t="shared" si="31"/>
        <v>0</v>
      </c>
      <c r="AM137" s="411">
        <f t="shared" si="31"/>
        <v>0</v>
      </c>
      <c r="AN137" s="411">
        <f t="shared" si="31"/>
        <v>0</v>
      </c>
      <c r="AO137" s="411">
        <f t="shared" si="31"/>
        <v>0</v>
      </c>
      <c r="AP137" s="411">
        <f t="shared" si="31"/>
        <v>0</v>
      </c>
      <c r="AQ137" s="411" t="str">
        <f t="shared" si="31"/>
        <v/>
      </c>
      <c r="AR137" s="411" t="str">
        <f t="shared" si="31"/>
        <v/>
      </c>
      <c r="AS137" s="411" t="str">
        <f t="shared" si="31"/>
        <v/>
      </c>
      <c r="AT137" s="411" t="str">
        <f t="shared" si="31"/>
        <v/>
      </c>
      <c r="AU137" s="411" t="str">
        <f t="shared" si="31"/>
        <v/>
      </c>
      <c r="AV137" s="411" t="str">
        <f t="shared" si="31"/>
        <v/>
      </c>
      <c r="AW137" s="411" t="str">
        <f t="shared" si="31"/>
        <v/>
      </c>
      <c r="AX137" s="411" t="str">
        <f t="shared" si="31"/>
        <v/>
      </c>
      <c r="AY137" s="411" t="str">
        <f t="shared" si="31"/>
        <v/>
      </c>
      <c r="AZ137" s="411" t="str">
        <f t="shared" si="31"/>
        <v/>
      </c>
      <c r="BA137" s="411" t="str">
        <f t="shared" si="31"/>
        <v/>
      </c>
      <c r="BB137" s="411" t="str">
        <f t="shared" si="31"/>
        <v/>
      </c>
      <c r="BC137" s="411" t="str">
        <f t="shared" si="31"/>
        <v/>
      </c>
      <c r="BD137" s="411" t="str">
        <f t="shared" si="31"/>
        <v/>
      </c>
      <c r="BE137" s="411" t="str">
        <f t="shared" si="31"/>
        <v/>
      </c>
      <c r="BF137" s="411" t="str">
        <f t="shared" si="31"/>
        <v/>
      </c>
      <c r="BG137" s="411" t="str">
        <f t="shared" si="31"/>
        <v/>
      </c>
      <c r="BH137" s="411" t="str">
        <f t="shared" si="31"/>
        <v/>
      </c>
      <c r="BI137" s="411" t="str">
        <f t="shared" si="31"/>
        <v/>
      </c>
      <c r="BJ137" s="411" t="str">
        <f t="shared" si="31"/>
        <v/>
      </c>
      <c r="BK137" s="411" t="str">
        <f t="shared" si="31"/>
        <v/>
      </c>
      <c r="BL137" s="411" t="str">
        <f t="shared" si="31"/>
        <v/>
      </c>
      <c r="BM137" s="413" t="str">
        <f t="shared" si="31"/>
        <v/>
      </c>
    </row>
    <row r="138" spans="2:65" s="307" customFormat="1" x14ac:dyDescent="0.45">
      <c r="B138" s="625" t="s">
        <v>385</v>
      </c>
      <c r="C138" s="626"/>
      <c r="D138" s="647"/>
      <c r="E138" s="647"/>
      <c r="F138" s="647"/>
      <c r="G138" s="647"/>
      <c r="H138" s="647"/>
      <c r="I138" s="647"/>
      <c r="J138" s="647"/>
      <c r="K138" s="647"/>
      <c r="L138" s="647"/>
      <c r="M138" s="647"/>
      <c r="N138" s="647"/>
      <c r="O138" s="647"/>
      <c r="P138" s="647"/>
      <c r="Q138" s="647"/>
      <c r="R138" s="647"/>
      <c r="S138" s="647"/>
      <c r="T138" s="647"/>
      <c r="U138" s="647"/>
      <c r="V138" s="647"/>
      <c r="W138" s="647"/>
      <c r="X138" s="647"/>
      <c r="Y138" s="647"/>
      <c r="Z138" s="647"/>
      <c r="AA138" s="647"/>
      <c r="AB138" s="647"/>
      <c r="AC138" s="647"/>
      <c r="AD138" s="647"/>
      <c r="AE138" s="647"/>
      <c r="AF138" s="647"/>
      <c r="AG138" s="647"/>
      <c r="AH138" s="647"/>
      <c r="AI138" s="647"/>
      <c r="AJ138" s="647"/>
      <c r="AK138" s="647"/>
      <c r="AL138" s="647"/>
      <c r="AM138" s="647"/>
      <c r="AN138" s="647"/>
      <c r="AO138" s="647"/>
      <c r="AP138" s="647"/>
      <c r="AQ138" s="647"/>
      <c r="AR138" s="647"/>
      <c r="AS138" s="647"/>
      <c r="AT138" s="647"/>
      <c r="AU138" s="647"/>
      <c r="AV138" s="647"/>
      <c r="AW138" s="647"/>
      <c r="AX138" s="647"/>
      <c r="AY138" s="647"/>
      <c r="AZ138" s="647"/>
      <c r="BA138" s="647"/>
      <c r="BB138" s="647"/>
      <c r="BC138" s="647"/>
      <c r="BD138" s="647"/>
      <c r="BE138" s="647"/>
      <c r="BF138" s="647"/>
      <c r="BG138" s="647"/>
      <c r="BH138" s="647"/>
      <c r="BI138" s="647"/>
      <c r="BJ138" s="647"/>
      <c r="BK138" s="647"/>
      <c r="BL138" s="647"/>
      <c r="BM138" s="18"/>
    </row>
    <row r="139" spans="2:65" s="307" customFormat="1" x14ac:dyDescent="0.45">
      <c r="B139" s="405" t="s">
        <v>285</v>
      </c>
      <c r="C139" s="261"/>
      <c r="D139" s="262"/>
      <c r="E139" s="262"/>
      <c r="F139" s="262"/>
      <c r="G139" s="262"/>
      <c r="H139" s="262"/>
      <c r="I139" s="262"/>
      <c r="J139" s="262"/>
      <c r="K139" s="262"/>
      <c r="L139" s="262"/>
      <c r="M139" s="262"/>
      <c r="N139" s="262"/>
      <c r="O139" s="262"/>
      <c r="P139" s="262"/>
      <c r="Q139" s="262"/>
      <c r="R139" s="262"/>
      <c r="S139" s="262"/>
      <c r="T139" s="262"/>
      <c r="U139" s="262"/>
      <c r="V139" s="262"/>
      <c r="W139" s="262"/>
      <c r="X139" s="262"/>
      <c r="Y139" s="262"/>
      <c r="Z139" s="262"/>
      <c r="AA139" s="262"/>
      <c r="AB139" s="262"/>
      <c r="AC139" s="262"/>
      <c r="AD139" s="262"/>
      <c r="AE139" s="262"/>
      <c r="AF139" s="262"/>
      <c r="AG139" s="262"/>
      <c r="AH139" s="262"/>
      <c r="AI139" s="262"/>
      <c r="AJ139" s="262"/>
      <c r="AK139" s="262"/>
      <c r="AL139" s="262"/>
      <c r="AM139" s="262"/>
      <c r="AN139" s="262"/>
      <c r="AO139" s="262"/>
      <c r="AP139" s="262"/>
      <c r="AQ139" s="262"/>
      <c r="AR139" s="262"/>
      <c r="AS139" s="262"/>
      <c r="AT139" s="262"/>
      <c r="AU139" s="262"/>
      <c r="AV139" s="262"/>
      <c r="AW139" s="262"/>
      <c r="AX139" s="262"/>
      <c r="AY139" s="262"/>
      <c r="AZ139" s="262"/>
      <c r="BA139" s="262"/>
      <c r="BB139" s="262"/>
      <c r="BC139" s="262"/>
      <c r="BD139" s="262"/>
      <c r="BE139" s="262"/>
      <c r="BF139" s="262"/>
      <c r="BG139" s="262"/>
      <c r="BH139" s="262"/>
      <c r="BI139" s="262"/>
      <c r="BJ139" s="262"/>
      <c r="BK139" s="262"/>
      <c r="BL139" s="262"/>
      <c r="BM139" s="98"/>
    </row>
    <row r="140" spans="2:65" s="307" customFormat="1" x14ac:dyDescent="0.45">
      <c r="B140" s="648" t="str">
        <f>B53</f>
        <v xml:space="preserve">Settlement of Land Purchase </v>
      </c>
      <c r="C140" s="407"/>
      <c r="D140" s="345">
        <f>'Detailed Feasibility Inputs'!F69</f>
        <v>1010000</v>
      </c>
      <c r="E140" s="407">
        <f>IF(SUM(F140:BM140)=D140,1,0)</f>
        <v>1</v>
      </c>
      <c r="F140" s="408">
        <f>IF(F114='Detailed Feasibility'!$C$53,'Detailed Feasibility Inputs'!$F$69,0)</f>
        <v>1010000</v>
      </c>
      <c r="G140" s="408">
        <f>IF(G$114="","",IF(G$114="","",IF(G114='Detailed Feasibility'!$C$53,'Detailed Feasibility Inputs'!$F$69,0)))</f>
        <v>0</v>
      </c>
      <c r="H140" s="408">
        <f>IF(H$114="","",IF(H$114="","",IF(H114='Detailed Feasibility'!$C$53,'Detailed Feasibility Inputs'!$F$69,0)))</f>
        <v>0</v>
      </c>
      <c r="I140" s="408">
        <f>IF(I$114="","",IF(I$114="","",IF(I114='Detailed Feasibility'!$C$53,'Detailed Feasibility Inputs'!$F$69,0)))</f>
        <v>0</v>
      </c>
      <c r="J140" s="408">
        <f>IF(J$114="","",IF(J$114="","",IF(J114='Detailed Feasibility'!$C$53,'Detailed Feasibility Inputs'!$F$69,0)))</f>
        <v>0</v>
      </c>
      <c r="K140" s="408">
        <f>IF(K$114="","",IF(K$114="","",IF(K114='Detailed Feasibility'!$C$53,'Detailed Feasibility Inputs'!$F$69,0)))</f>
        <v>0</v>
      </c>
      <c r="L140" s="408">
        <f>IF(L$114="","",IF(L$114="","",IF(L114='Detailed Feasibility'!$C$53,'Detailed Feasibility Inputs'!$F$69,0)))</f>
        <v>0</v>
      </c>
      <c r="M140" s="408">
        <f>IF(M$114="","",IF(M$114="","",IF(M114='Detailed Feasibility'!$C$53,'Detailed Feasibility Inputs'!$F$69,0)))</f>
        <v>0</v>
      </c>
      <c r="N140" s="408">
        <f>IF(N$114="","",IF(N$114="","",IF(N114='Detailed Feasibility'!$C$53,'Detailed Feasibility Inputs'!$F$69,0)))</f>
        <v>0</v>
      </c>
      <c r="O140" s="408">
        <f>IF(O$114="","",IF(O$114="","",IF(O114='Detailed Feasibility'!$C$53,'Detailed Feasibility Inputs'!$F$69,0)))</f>
        <v>0</v>
      </c>
      <c r="P140" s="408">
        <f>IF(P$114="","",IF(P$114="","",IF(P114='Detailed Feasibility'!$C$53,'Detailed Feasibility Inputs'!$F$69,0)))</f>
        <v>0</v>
      </c>
      <c r="Q140" s="408">
        <f>IF(Q$114="","",IF(Q$114="","",IF(Q114='Detailed Feasibility'!$C$53,'Detailed Feasibility Inputs'!$F$69,0)))</f>
        <v>0</v>
      </c>
      <c r="R140" s="408">
        <f>IF(R$114="","",IF(R$114="","",IF(R114='Detailed Feasibility'!$C$53,'Detailed Feasibility Inputs'!$F$69,0)))</f>
        <v>0</v>
      </c>
      <c r="S140" s="408">
        <f>IF(S$114="","",IF(S$114="","",IF(S114='Detailed Feasibility'!$C$53,'Detailed Feasibility Inputs'!$F$69,0)))</f>
        <v>0</v>
      </c>
      <c r="T140" s="408">
        <f>IF(T$114="","",IF(T$114="","",IF(T114='Detailed Feasibility'!$C$53,'Detailed Feasibility Inputs'!$F$69,0)))</f>
        <v>0</v>
      </c>
      <c r="U140" s="408">
        <f>IF(U$114="","",IF(U$114="","",IF(U114='Detailed Feasibility'!$C$53,'Detailed Feasibility Inputs'!$F$69,0)))</f>
        <v>0</v>
      </c>
      <c r="V140" s="408">
        <f>IF(V$114="","",IF(V$114="","",IF(V114='Detailed Feasibility'!$C$53,'Detailed Feasibility Inputs'!$F$69,0)))</f>
        <v>0</v>
      </c>
      <c r="W140" s="408">
        <f>IF(W$114="","",IF(W$114="","",IF(W114='Detailed Feasibility'!$C$53,'Detailed Feasibility Inputs'!$F$69,0)))</f>
        <v>0</v>
      </c>
      <c r="X140" s="408">
        <f>IF(X$114="","",IF(X$114="","",IF(X114='Detailed Feasibility'!$C$53,'Detailed Feasibility Inputs'!$F$69,0)))</f>
        <v>0</v>
      </c>
      <c r="Y140" s="408">
        <f>IF(Y$114="","",IF(Y$114="","",IF(Y114='Detailed Feasibility'!$C$53,'Detailed Feasibility Inputs'!$F$69,0)))</f>
        <v>0</v>
      </c>
      <c r="Z140" s="408">
        <f>IF(Z$114="","",IF(Z$114="","",IF(Z114='Detailed Feasibility'!$C$53,'Detailed Feasibility Inputs'!$F$69,0)))</f>
        <v>0</v>
      </c>
      <c r="AA140" s="408">
        <f>IF(AA$114="","",IF(AA$114="","",IF(AA114='Detailed Feasibility'!$C$53,'Detailed Feasibility Inputs'!$F$69,0)))</f>
        <v>0</v>
      </c>
      <c r="AB140" s="408">
        <f>IF(AB$114="","",IF(AB$114="","",IF(AB114='Detailed Feasibility'!$C$53,'Detailed Feasibility Inputs'!$F$69,0)))</f>
        <v>0</v>
      </c>
      <c r="AC140" s="408">
        <f>IF(AC$114="","",IF(AC$114="","",IF(AC114='Detailed Feasibility'!$C$53,'Detailed Feasibility Inputs'!$F$69,0)))</f>
        <v>0</v>
      </c>
      <c r="AD140" s="408">
        <f>IF(AD$114="","",IF(AD$114="","",IF(AD114='Detailed Feasibility'!$C$53,'Detailed Feasibility Inputs'!$F$69,0)))</f>
        <v>0</v>
      </c>
      <c r="AE140" s="408">
        <f>IF(AE$114="","",IF(AE$114="","",IF(AE114='Detailed Feasibility'!$C$53,'Detailed Feasibility Inputs'!$F$69,0)))</f>
        <v>0</v>
      </c>
      <c r="AF140" s="408">
        <f>IF(AF$114="","",IF(AF$114="","",IF(AF114='Detailed Feasibility'!$C$53,'Detailed Feasibility Inputs'!$F$69,0)))</f>
        <v>0</v>
      </c>
      <c r="AG140" s="408">
        <f>IF(AG$114="","",IF(AG$114="","",IF(AG114='Detailed Feasibility'!$C$53,'Detailed Feasibility Inputs'!$F$69,0)))</f>
        <v>0</v>
      </c>
      <c r="AH140" s="408">
        <f>IF(AH$114="","",IF(AH$114="","",IF(AH114='Detailed Feasibility'!$C$53,'Detailed Feasibility Inputs'!$F$69,0)))</f>
        <v>0</v>
      </c>
      <c r="AI140" s="408">
        <f>IF(AI$114="","",IF(AI$114="","",IF(AI114='Detailed Feasibility'!$C$53,'Detailed Feasibility Inputs'!$F$69,0)))</f>
        <v>0</v>
      </c>
      <c r="AJ140" s="408">
        <f>IF(AJ$114="","",IF(AJ$114="","",IF(AJ114='Detailed Feasibility'!$C$53,'Detailed Feasibility Inputs'!$F$69,0)))</f>
        <v>0</v>
      </c>
      <c r="AK140" s="408">
        <f>IF(AK$114="","",IF(AK$114="","",IF(AK114='Detailed Feasibility'!$C$53,'Detailed Feasibility Inputs'!$F$69,0)))</f>
        <v>0</v>
      </c>
      <c r="AL140" s="408">
        <f>IF(AL$114="","",IF(AL$114="","",IF(AL114='Detailed Feasibility'!$C$53,'Detailed Feasibility Inputs'!$F$69,0)))</f>
        <v>0</v>
      </c>
      <c r="AM140" s="408">
        <f>IF(AM$114="","",IF(AM$114="","",IF(AM114='Detailed Feasibility'!$C$53,'Detailed Feasibility Inputs'!$F$69,0)))</f>
        <v>0</v>
      </c>
      <c r="AN140" s="408">
        <f>IF(AN$114="","",IF(AN$114="","",IF(AN114='Detailed Feasibility'!$C$53,'Detailed Feasibility Inputs'!$F$69,0)))</f>
        <v>0</v>
      </c>
      <c r="AO140" s="408">
        <f>IF(AO$114="","",IF(AO$114="","",IF(AO114='Detailed Feasibility'!$C$53,'Detailed Feasibility Inputs'!$F$69,0)))</f>
        <v>0</v>
      </c>
      <c r="AP140" s="408">
        <f>IF(AP$114="","",IF(AP$114="","",IF(AP114='Detailed Feasibility'!$C$53,'Detailed Feasibility Inputs'!$F$69,0)))</f>
        <v>0</v>
      </c>
      <c r="AQ140" s="408" t="str">
        <f>IF(AQ$114="","",IF(AQ$114="","",IF(AQ114='Detailed Feasibility'!$C$53,'Detailed Feasibility Inputs'!$F$69,0)))</f>
        <v/>
      </c>
      <c r="AR140" s="408" t="str">
        <f>IF(AR$114="","",IF(AR$114="","",IF(AR114='Detailed Feasibility'!$C$53,'Detailed Feasibility Inputs'!$F$69,0)))</f>
        <v/>
      </c>
      <c r="AS140" s="408" t="str">
        <f>IF(AS$114="","",IF(AS$114="","",IF(AS114='Detailed Feasibility'!$C$53,'Detailed Feasibility Inputs'!$F$69,0)))</f>
        <v/>
      </c>
      <c r="AT140" s="408" t="str">
        <f>IF(AT$114="","",IF(AT$114="","",IF(AT114='Detailed Feasibility'!$C$53,'Detailed Feasibility Inputs'!$F$69,0)))</f>
        <v/>
      </c>
      <c r="AU140" s="408" t="str">
        <f>IF(AU$114="","",IF(AU$114="","",IF(AU114='Detailed Feasibility'!$C$53,'Detailed Feasibility Inputs'!$F$69,0)))</f>
        <v/>
      </c>
      <c r="AV140" s="408" t="str">
        <f>IF(AV$114="","",IF(AV$114="","",IF(AV114='Detailed Feasibility'!$C$53,'Detailed Feasibility Inputs'!$F$69,0)))</f>
        <v/>
      </c>
      <c r="AW140" s="408" t="str">
        <f>IF(AW$114="","",IF(AW$114="","",IF(AW114='Detailed Feasibility'!$C$53,'Detailed Feasibility Inputs'!$F$69,0)))</f>
        <v/>
      </c>
      <c r="AX140" s="408" t="str">
        <f>IF(AX$114="","",IF(AX$114="","",IF(AX114='Detailed Feasibility'!$C$53,'Detailed Feasibility Inputs'!$F$69,0)))</f>
        <v/>
      </c>
      <c r="AY140" s="408" t="str">
        <f>IF(AY$114="","",IF(AY$114="","",IF(AY114='Detailed Feasibility'!$C$53,'Detailed Feasibility Inputs'!$F$69,0)))</f>
        <v/>
      </c>
      <c r="AZ140" s="408" t="str">
        <f>IF(AZ$114="","",IF(AZ$114="","",IF(AZ114='Detailed Feasibility'!$C$53,'Detailed Feasibility Inputs'!$F$69,0)))</f>
        <v/>
      </c>
      <c r="BA140" s="408" t="str">
        <f>IF(BA$114="","",IF(BA$114="","",IF(BA114='Detailed Feasibility'!$C$53,'Detailed Feasibility Inputs'!$F$69,0)))</f>
        <v/>
      </c>
      <c r="BB140" s="408" t="str">
        <f>IF(BB$114="","",IF(BB$114="","",IF(BB114='Detailed Feasibility'!$C$53,'Detailed Feasibility Inputs'!$F$69,0)))</f>
        <v/>
      </c>
      <c r="BC140" s="408" t="str">
        <f>IF(BC$114="","",IF(BC$114="","",IF(BC114='Detailed Feasibility'!$C$53,'Detailed Feasibility Inputs'!$F$69,0)))</f>
        <v/>
      </c>
      <c r="BD140" s="408" t="str">
        <f>IF(BD$114="","",IF(BD$114="","",IF(BD114='Detailed Feasibility'!$C$53,'Detailed Feasibility Inputs'!$F$69,0)))</f>
        <v/>
      </c>
      <c r="BE140" s="408" t="str">
        <f>IF(BE$114="","",IF(BE$114="","",IF(BE114='Detailed Feasibility'!$C$53,'Detailed Feasibility Inputs'!$F$69,0)))</f>
        <v/>
      </c>
      <c r="BF140" s="408" t="str">
        <f>IF(BF$114="","",IF(BF$114="","",IF(BF114='Detailed Feasibility'!$C$53,'Detailed Feasibility Inputs'!$F$69,0)))</f>
        <v/>
      </c>
      <c r="BG140" s="408" t="str">
        <f>IF(BG$114="","",IF(BG$114="","",IF(BG114='Detailed Feasibility'!$C$53,'Detailed Feasibility Inputs'!$F$69,0)))</f>
        <v/>
      </c>
      <c r="BH140" s="408" t="str">
        <f>IF(BH$114="","",IF(BH$114="","",IF(BH114='Detailed Feasibility'!$C$53,'Detailed Feasibility Inputs'!$F$69,0)))</f>
        <v/>
      </c>
      <c r="BI140" s="408" t="str">
        <f>IF(BI$114="","",IF(BI$114="","",IF(BI114='Detailed Feasibility'!$C$53,'Detailed Feasibility Inputs'!$F$69,0)))</f>
        <v/>
      </c>
      <c r="BJ140" s="408" t="str">
        <f>IF(BJ$114="","",IF(BJ$114="","",IF(BJ114='Detailed Feasibility'!$C$53,'Detailed Feasibility Inputs'!$F$69,0)))</f>
        <v/>
      </c>
      <c r="BK140" s="408" t="str">
        <f>IF(BK$114="","",IF(BK$114="","",IF(BK114='Detailed Feasibility'!$C$53,'Detailed Feasibility Inputs'!$F$69,0)))</f>
        <v/>
      </c>
      <c r="BL140" s="408" t="str">
        <f>IF(BL$114="","",IF(BL$114="","",IF(BL114='Detailed Feasibility'!$C$53,'Detailed Feasibility Inputs'!$F$69,0)))</f>
        <v/>
      </c>
      <c r="BM140" s="409" t="str">
        <f>IF(BM$114="","",IF(BM$114="","",IF(BM114='Detailed Feasibility'!$C$53,'Detailed Feasibility Inputs'!$F$69,0)))</f>
        <v/>
      </c>
    </row>
    <row r="141" spans="2:65" s="307" customFormat="1" x14ac:dyDescent="0.45">
      <c r="B141" s="648" t="str">
        <f>B54</f>
        <v>Site Civils &amp; Infrastructure</v>
      </c>
      <c r="C141" s="407"/>
      <c r="D141" s="345">
        <f>'Detailed Feasibility Inputs'!F84</f>
        <v>360000</v>
      </c>
      <c r="E141" s="407">
        <f t="shared" ref="E141:E143" si="32">IF(SUM(F141:BM141)=D141,1,0)</f>
        <v>1</v>
      </c>
      <c r="F141" s="408">
        <f>IF(AND(F114&gt;='Detailed Feasibility'!$C$54,F114&lt;'Detailed Feasibility'!$D$54),('Detailed Feasibility Inputs'!$F$84/('Detailed Feasibility'!$D$54-'Detailed Feasibility'!$C$54)),0)</f>
        <v>0</v>
      </c>
      <c r="G141" s="408">
        <f>IF(G114="","",IF(AND(G114&gt;='Detailed Feasibility'!$C$54,G114&lt;'Detailed Feasibility'!$D$54),('Detailed Feasibility Inputs'!$F$84/('Detailed Feasibility'!$D$54-'Detailed Feasibility'!$C$54)),0))</f>
        <v>0</v>
      </c>
      <c r="H141" s="408">
        <f>IF(H114="","",IF(AND(H114&gt;='Detailed Feasibility'!$C$54,H114&lt;'Detailed Feasibility'!$D$54),('Detailed Feasibility Inputs'!$F$84/('Detailed Feasibility'!$D$54-'Detailed Feasibility'!$C$54)),0))</f>
        <v>0</v>
      </c>
      <c r="I141" s="408">
        <f>IF(I114="","",IF(AND(I114&gt;='Detailed Feasibility'!$C$54,I114&lt;'Detailed Feasibility'!$D$54),('Detailed Feasibility Inputs'!$F$84/('Detailed Feasibility'!$D$54-'Detailed Feasibility'!$C$54)),0))</f>
        <v>0</v>
      </c>
      <c r="J141" s="408">
        <f>IF(J114="","",IF(AND(J114&gt;='Detailed Feasibility'!$C$54,J114&lt;'Detailed Feasibility'!$D$54),('Detailed Feasibility Inputs'!$F$84/('Detailed Feasibility'!$D$54-'Detailed Feasibility'!$C$54)),0))</f>
        <v>0</v>
      </c>
      <c r="K141" s="408">
        <f>IF(K114="","",IF(AND(K114&gt;='Detailed Feasibility'!$C$54,K114&lt;'Detailed Feasibility'!$D$54),('Detailed Feasibility Inputs'!$F$84/('Detailed Feasibility'!$D$54-'Detailed Feasibility'!$C$54)),0))</f>
        <v>0</v>
      </c>
      <c r="L141" s="408">
        <f>IF(L114="","",IF(AND(L114&gt;='Detailed Feasibility'!$C$54,L114&lt;'Detailed Feasibility'!$D$54),('Detailed Feasibility Inputs'!$F$84/('Detailed Feasibility'!$D$54-'Detailed Feasibility'!$C$54)),0))</f>
        <v>0</v>
      </c>
      <c r="M141" s="408">
        <f>IF(M114="","",IF(AND(M114&gt;='Detailed Feasibility'!$C$54,M114&lt;'Detailed Feasibility'!$D$54),('Detailed Feasibility Inputs'!$F$84/('Detailed Feasibility'!$D$54-'Detailed Feasibility'!$C$54)),0))</f>
        <v>0</v>
      </c>
      <c r="N141" s="408">
        <f>IF(N114="","",IF(AND(N114&gt;='Detailed Feasibility'!$C$54,N114&lt;'Detailed Feasibility'!$D$54),('Detailed Feasibility Inputs'!$F$84/('Detailed Feasibility'!$D$54-'Detailed Feasibility'!$C$54)),0))</f>
        <v>0</v>
      </c>
      <c r="O141" s="408">
        <f>IF(O114="","",IF(AND(O114&gt;='Detailed Feasibility'!$C$54,O114&lt;'Detailed Feasibility'!$D$54),('Detailed Feasibility Inputs'!$F$84/('Detailed Feasibility'!$D$54-'Detailed Feasibility'!$C$54)),0))</f>
        <v>0</v>
      </c>
      <c r="P141" s="408">
        <f>IF(P114="","",IF(AND(P114&gt;='Detailed Feasibility'!$C$54,P114&lt;'Detailed Feasibility'!$D$54),('Detailed Feasibility Inputs'!$F$84/('Detailed Feasibility'!$D$54-'Detailed Feasibility'!$C$54)),0))</f>
        <v>0</v>
      </c>
      <c r="Q141" s="408">
        <f>IF(Q114="","",IF(AND(Q114&gt;='Detailed Feasibility'!$C$54,Q114&lt;'Detailed Feasibility'!$D$54),('Detailed Feasibility Inputs'!$F$84/('Detailed Feasibility'!$D$54-'Detailed Feasibility'!$C$54)),0))</f>
        <v>0</v>
      </c>
      <c r="R141" s="408">
        <f>IF(R114="","",IF(AND(R114&gt;='Detailed Feasibility'!$C$54,R114&lt;'Detailed Feasibility'!$D$54),('Detailed Feasibility Inputs'!$F$84/('Detailed Feasibility'!$D$54-'Detailed Feasibility'!$C$54)),0))</f>
        <v>0</v>
      </c>
      <c r="S141" s="408">
        <f>IF(S114="","",IF(AND(S114&gt;='Detailed Feasibility'!$C$54,S114&lt;'Detailed Feasibility'!$D$54),('Detailed Feasibility Inputs'!$F$84/('Detailed Feasibility'!$D$54-'Detailed Feasibility'!$C$54)),0))</f>
        <v>0</v>
      </c>
      <c r="T141" s="408">
        <f>IF(T114="","",IF(AND(T114&gt;='Detailed Feasibility'!$C$54,T114&lt;'Detailed Feasibility'!$D$54),('Detailed Feasibility Inputs'!$F$84/('Detailed Feasibility'!$D$54-'Detailed Feasibility'!$C$54)),0))</f>
        <v>0</v>
      </c>
      <c r="U141" s="408">
        <f>IF(U114="","",IF(AND(U114&gt;='Detailed Feasibility'!$C$54,U114&lt;'Detailed Feasibility'!$D$54),('Detailed Feasibility Inputs'!$F$84/('Detailed Feasibility'!$D$54-'Detailed Feasibility'!$C$54)),0))</f>
        <v>0</v>
      </c>
      <c r="V141" s="408">
        <f>IF(V114="","",IF(AND(V114&gt;='Detailed Feasibility'!$C$54,V114&lt;'Detailed Feasibility'!$D$54),('Detailed Feasibility Inputs'!$F$84/('Detailed Feasibility'!$D$54-'Detailed Feasibility'!$C$54)),0))</f>
        <v>0</v>
      </c>
      <c r="W141" s="408">
        <f>IF(W114="","",IF(AND(W114&gt;='Detailed Feasibility'!$C$54,W114&lt;'Detailed Feasibility'!$D$54),('Detailed Feasibility Inputs'!$F$84/('Detailed Feasibility'!$D$54-'Detailed Feasibility'!$C$54)),0))</f>
        <v>180000</v>
      </c>
      <c r="X141" s="408">
        <f>IF(X114="","",IF(AND(X114&gt;='Detailed Feasibility'!$C$54,X114&lt;'Detailed Feasibility'!$D$54),('Detailed Feasibility Inputs'!$F$84/('Detailed Feasibility'!$D$54-'Detailed Feasibility'!$C$54)),0))</f>
        <v>180000</v>
      </c>
      <c r="Y141" s="408">
        <f>IF(Y114="","",IF(AND(Y114&gt;='Detailed Feasibility'!$C$54,Y114&lt;'Detailed Feasibility'!$D$54),('Detailed Feasibility Inputs'!$F$84/('Detailed Feasibility'!$D$54-'Detailed Feasibility'!$C$54)),0))</f>
        <v>0</v>
      </c>
      <c r="Z141" s="408">
        <f>IF(Z114="","",IF(AND(Z114&gt;='Detailed Feasibility'!$C$54,Z114&lt;'Detailed Feasibility'!$D$54),('Detailed Feasibility Inputs'!$F$84/('Detailed Feasibility'!$D$54-'Detailed Feasibility'!$C$54)),0))</f>
        <v>0</v>
      </c>
      <c r="AA141" s="408">
        <f>IF(AA114="","",IF(AND(AA114&gt;='Detailed Feasibility'!$C$54,AA114&lt;'Detailed Feasibility'!$D$54),('Detailed Feasibility Inputs'!$F$84/('Detailed Feasibility'!$D$54-'Detailed Feasibility'!$C$54)),0))</f>
        <v>0</v>
      </c>
      <c r="AB141" s="408">
        <f>IF(AB114="","",IF(AND(AB114&gt;='Detailed Feasibility'!$C$54,AB114&lt;'Detailed Feasibility'!$D$54),('Detailed Feasibility Inputs'!$F$84/('Detailed Feasibility'!$D$54-'Detailed Feasibility'!$C$54)),0))</f>
        <v>0</v>
      </c>
      <c r="AC141" s="408">
        <f>IF(AC114="","",IF(AND(AC114&gt;='Detailed Feasibility'!$C$54,AC114&lt;'Detailed Feasibility'!$D$54),('Detailed Feasibility Inputs'!$F$84/('Detailed Feasibility'!$D$54-'Detailed Feasibility'!$C$54)),0))</f>
        <v>0</v>
      </c>
      <c r="AD141" s="408">
        <f>IF(AD114="","",IF(AND(AD114&gt;='Detailed Feasibility'!$C$54,AD114&lt;'Detailed Feasibility'!$D$54),('Detailed Feasibility Inputs'!$F$84/('Detailed Feasibility'!$D$54-'Detailed Feasibility'!$C$54)),0))</f>
        <v>0</v>
      </c>
      <c r="AE141" s="408">
        <f>IF(AE114="","",IF(AND(AE114&gt;='Detailed Feasibility'!$C$54,AE114&lt;'Detailed Feasibility'!$D$54),('Detailed Feasibility Inputs'!$F$84/('Detailed Feasibility'!$D$54-'Detailed Feasibility'!$C$54)),0))</f>
        <v>0</v>
      </c>
      <c r="AF141" s="408">
        <f>IF(AF114="","",IF(AND(AF114&gt;='Detailed Feasibility'!$C$54,AF114&lt;'Detailed Feasibility'!$D$54),('Detailed Feasibility Inputs'!$F$84/('Detailed Feasibility'!$D$54-'Detailed Feasibility'!$C$54)),0))</f>
        <v>0</v>
      </c>
      <c r="AG141" s="408">
        <f>IF(AG114="","",IF(AND(AG114&gt;='Detailed Feasibility'!$C$54,AG114&lt;'Detailed Feasibility'!$D$54),('Detailed Feasibility Inputs'!$F$84/('Detailed Feasibility'!$D$54-'Detailed Feasibility'!$C$54)),0))</f>
        <v>0</v>
      </c>
      <c r="AH141" s="408">
        <f>IF(AH114="","",IF(AND(AH114&gt;='Detailed Feasibility'!$C$54,AH114&lt;'Detailed Feasibility'!$D$54),('Detailed Feasibility Inputs'!$F$84/('Detailed Feasibility'!$D$54-'Detailed Feasibility'!$C$54)),0))</f>
        <v>0</v>
      </c>
      <c r="AI141" s="408">
        <f>IF(AI114="","",IF(AND(AI114&gt;='Detailed Feasibility'!$C$54,AI114&lt;'Detailed Feasibility'!$D$54),('Detailed Feasibility Inputs'!$F$84/('Detailed Feasibility'!$D$54-'Detailed Feasibility'!$C$54)),0))</f>
        <v>0</v>
      </c>
      <c r="AJ141" s="408">
        <f>IF(AJ114="","",IF(AND(AJ114&gt;='Detailed Feasibility'!$C$54,AJ114&lt;'Detailed Feasibility'!$D$54),('Detailed Feasibility Inputs'!$F$84/('Detailed Feasibility'!$D$54-'Detailed Feasibility'!$C$54)),0))</f>
        <v>0</v>
      </c>
      <c r="AK141" s="408">
        <f>IF(AK114="","",IF(AND(AK114&gt;='Detailed Feasibility'!$C$54,AK114&lt;'Detailed Feasibility'!$D$54),('Detailed Feasibility Inputs'!$F$84/('Detailed Feasibility'!$D$54-'Detailed Feasibility'!$C$54)),0))</f>
        <v>0</v>
      </c>
      <c r="AL141" s="408">
        <f>IF(AL114="","",IF(AND(AL114&gt;='Detailed Feasibility'!$C$54,AL114&lt;'Detailed Feasibility'!$D$54),('Detailed Feasibility Inputs'!$F$84/('Detailed Feasibility'!$D$54-'Detailed Feasibility'!$C$54)),0))</f>
        <v>0</v>
      </c>
      <c r="AM141" s="408">
        <f>IF(AM114="","",IF(AND(AM114&gt;='Detailed Feasibility'!$C$54,AM114&lt;'Detailed Feasibility'!$D$54),('Detailed Feasibility Inputs'!$F$84/('Detailed Feasibility'!$D$54-'Detailed Feasibility'!$C$54)),0))</f>
        <v>0</v>
      </c>
      <c r="AN141" s="408">
        <f>IF(AN114="","",IF(AND(AN114&gt;='Detailed Feasibility'!$C$54,AN114&lt;'Detailed Feasibility'!$D$54),('Detailed Feasibility Inputs'!$F$84/('Detailed Feasibility'!$D$54-'Detailed Feasibility'!$C$54)),0))</f>
        <v>0</v>
      </c>
      <c r="AO141" s="408">
        <f>IF(AO114="","",IF(AND(AO114&gt;='Detailed Feasibility'!$C$54,AO114&lt;'Detailed Feasibility'!$D$54),('Detailed Feasibility Inputs'!$F$84/('Detailed Feasibility'!$D$54-'Detailed Feasibility'!$C$54)),0))</f>
        <v>0</v>
      </c>
      <c r="AP141" s="408">
        <f>IF(AP114="","",IF(AND(AP114&gt;='Detailed Feasibility'!$C$54,AP114&lt;'Detailed Feasibility'!$D$54),('Detailed Feasibility Inputs'!$F$84/('Detailed Feasibility'!$D$54-'Detailed Feasibility'!$C$54)),0))</f>
        <v>0</v>
      </c>
      <c r="AQ141" s="408" t="str">
        <f>IF(AQ114="","",IF(AND(AQ114&gt;='Detailed Feasibility'!$C$54,AQ114&lt;'Detailed Feasibility'!$D$54),('Detailed Feasibility Inputs'!$F$84/('Detailed Feasibility'!$D$54-'Detailed Feasibility'!$C$54)),0))</f>
        <v/>
      </c>
      <c r="AR141" s="408" t="str">
        <f>IF(AR114="","",IF(AND(AR114&gt;='Detailed Feasibility'!$C$54,AR114&lt;'Detailed Feasibility'!$D$54),('Detailed Feasibility Inputs'!$F$84/('Detailed Feasibility'!$D$54-'Detailed Feasibility'!$C$54)),0))</f>
        <v/>
      </c>
      <c r="AS141" s="408" t="str">
        <f>IF(AS114="","",IF(AND(AS114&gt;='Detailed Feasibility'!$C$54,AS114&lt;'Detailed Feasibility'!$D$54),('Detailed Feasibility Inputs'!$F$84/('Detailed Feasibility'!$D$54-'Detailed Feasibility'!$C$54)),0))</f>
        <v/>
      </c>
      <c r="AT141" s="408" t="str">
        <f>IF(AT114="","",IF(AND(AT114&gt;='Detailed Feasibility'!$C$54,AT114&lt;'Detailed Feasibility'!$D$54),('Detailed Feasibility Inputs'!$F$84/('Detailed Feasibility'!$D$54-'Detailed Feasibility'!$C$54)),0))</f>
        <v/>
      </c>
      <c r="AU141" s="408" t="str">
        <f>IF(AU114="","",IF(AND(AU114&gt;='Detailed Feasibility'!$C$54,AU114&lt;'Detailed Feasibility'!$D$54),('Detailed Feasibility Inputs'!$F$84/('Detailed Feasibility'!$D$54-'Detailed Feasibility'!$C$54)),0))</f>
        <v/>
      </c>
      <c r="AV141" s="408" t="str">
        <f>IF(AV114="","",IF(AND(AV114&gt;='Detailed Feasibility'!$C$54,AV114&lt;'Detailed Feasibility'!$D$54),('Detailed Feasibility Inputs'!$F$84/('Detailed Feasibility'!$D$54-'Detailed Feasibility'!$C$54)),0))</f>
        <v/>
      </c>
      <c r="AW141" s="408" t="str">
        <f>IF(AW114="","",IF(AND(AW114&gt;='Detailed Feasibility'!$C$54,AW114&lt;'Detailed Feasibility'!$D$54),('Detailed Feasibility Inputs'!$F$84/('Detailed Feasibility'!$D$54-'Detailed Feasibility'!$C$54)),0))</f>
        <v/>
      </c>
      <c r="AX141" s="408" t="str">
        <f>IF(AX114="","",IF(AND(AX114&gt;='Detailed Feasibility'!$C$54,AX114&lt;'Detailed Feasibility'!$D$54),('Detailed Feasibility Inputs'!$F$84/('Detailed Feasibility'!$D$54-'Detailed Feasibility'!$C$54)),0))</f>
        <v/>
      </c>
      <c r="AY141" s="408" t="str">
        <f>IF(AY114="","",IF(AND(AY114&gt;='Detailed Feasibility'!$C$54,AY114&lt;'Detailed Feasibility'!$D$54),('Detailed Feasibility Inputs'!$F$84/('Detailed Feasibility'!$D$54-'Detailed Feasibility'!$C$54)),0))</f>
        <v/>
      </c>
      <c r="AZ141" s="408" t="str">
        <f>IF(AZ114="","",IF(AND(AZ114&gt;='Detailed Feasibility'!$C$54,AZ114&lt;'Detailed Feasibility'!$D$54),('Detailed Feasibility Inputs'!$F$84/('Detailed Feasibility'!$D$54-'Detailed Feasibility'!$C$54)),0))</f>
        <v/>
      </c>
      <c r="BA141" s="408" t="str">
        <f>IF(BA114="","",IF(AND(BA114&gt;='Detailed Feasibility'!$C$54,BA114&lt;'Detailed Feasibility'!$D$54),('Detailed Feasibility Inputs'!$F$84/('Detailed Feasibility'!$D$54-'Detailed Feasibility'!$C$54)),0))</f>
        <v/>
      </c>
      <c r="BB141" s="408" t="str">
        <f>IF(BB114="","",IF(AND(BB114&gt;='Detailed Feasibility'!$C$54,BB114&lt;'Detailed Feasibility'!$D$54),('Detailed Feasibility Inputs'!$F$84/('Detailed Feasibility'!$D$54-'Detailed Feasibility'!$C$54)),0))</f>
        <v/>
      </c>
      <c r="BC141" s="408" t="str">
        <f>IF(BC114="","",IF(AND(BC114&gt;='Detailed Feasibility'!$C$54,BC114&lt;'Detailed Feasibility'!$D$54),('Detailed Feasibility Inputs'!$F$84/('Detailed Feasibility'!$D$54-'Detailed Feasibility'!$C$54)),0))</f>
        <v/>
      </c>
      <c r="BD141" s="408" t="str">
        <f>IF(BD114="","",IF(AND(BD114&gt;='Detailed Feasibility'!$C$54,BD114&lt;'Detailed Feasibility'!$D$54),('Detailed Feasibility Inputs'!$F$84/('Detailed Feasibility'!$D$54-'Detailed Feasibility'!$C$54)),0))</f>
        <v/>
      </c>
      <c r="BE141" s="408" t="str">
        <f>IF(BE114="","",IF(AND(BE114&gt;='Detailed Feasibility'!$C$54,BE114&lt;'Detailed Feasibility'!$D$54),('Detailed Feasibility Inputs'!$F$84/('Detailed Feasibility'!$D$54-'Detailed Feasibility'!$C$54)),0))</f>
        <v/>
      </c>
      <c r="BF141" s="408" t="str">
        <f>IF(BF114="","",IF(AND(BF114&gt;='Detailed Feasibility'!$C$54,BF114&lt;'Detailed Feasibility'!$D$54),('Detailed Feasibility Inputs'!$F$84/('Detailed Feasibility'!$D$54-'Detailed Feasibility'!$C$54)),0))</f>
        <v/>
      </c>
      <c r="BG141" s="408" t="str">
        <f>IF(BG114="","",IF(AND(BG114&gt;='Detailed Feasibility'!$C$54,BG114&lt;'Detailed Feasibility'!$D$54),('Detailed Feasibility Inputs'!$F$84/('Detailed Feasibility'!$D$54-'Detailed Feasibility'!$C$54)),0))</f>
        <v/>
      </c>
      <c r="BH141" s="408" t="str">
        <f>IF(BH114="","",IF(AND(BH114&gt;='Detailed Feasibility'!$C$54,BH114&lt;'Detailed Feasibility'!$D$54),('Detailed Feasibility Inputs'!$F$84/('Detailed Feasibility'!$D$54-'Detailed Feasibility'!$C$54)),0))</f>
        <v/>
      </c>
      <c r="BI141" s="408" t="str">
        <f>IF(BI114="","",IF(AND(BI114&gt;='Detailed Feasibility'!$C$54,BI114&lt;'Detailed Feasibility'!$D$54),('Detailed Feasibility Inputs'!$F$84/('Detailed Feasibility'!$D$54-'Detailed Feasibility'!$C$54)),0))</f>
        <v/>
      </c>
      <c r="BJ141" s="408" t="str">
        <f>IF(BJ114="","",IF(AND(BJ114&gt;='Detailed Feasibility'!$C$54,BJ114&lt;'Detailed Feasibility'!$D$54),('Detailed Feasibility Inputs'!$F$84/('Detailed Feasibility'!$D$54-'Detailed Feasibility'!$C$54)),0))</f>
        <v/>
      </c>
      <c r="BK141" s="408" t="str">
        <f>IF(BK114="","",IF(AND(BK114&gt;='Detailed Feasibility'!$C$54,BK114&lt;'Detailed Feasibility'!$D$54),('Detailed Feasibility Inputs'!$F$84/('Detailed Feasibility'!$D$54-'Detailed Feasibility'!$C$54)),0))</f>
        <v/>
      </c>
      <c r="BL141" s="408" t="str">
        <f>IF(BL114="","",IF(AND(BL114&gt;='Detailed Feasibility'!$C$54,BL114&lt;'Detailed Feasibility'!$D$54),('Detailed Feasibility Inputs'!$F$84/('Detailed Feasibility'!$D$54-'Detailed Feasibility'!$C$54)),0))</f>
        <v/>
      </c>
      <c r="BM141" s="409" t="str">
        <f>IF(BM114="","",IF(AND(BM114&gt;='Detailed Feasibility'!$C$54,BM114&lt;'Detailed Feasibility'!$D$54),('Detailed Feasibility Inputs'!$F$84/('Detailed Feasibility'!$D$54-'Detailed Feasibility'!$C$54)),0))</f>
        <v/>
      </c>
    </row>
    <row r="142" spans="2:65" s="307" customFormat="1" x14ac:dyDescent="0.45">
      <c r="B142" s="648" t="str">
        <f>B55</f>
        <v>Professional Fees</v>
      </c>
      <c r="C142" s="407"/>
      <c r="D142" s="345">
        <f>'Detailed Feasibility Inputs'!F98</f>
        <v>830550</v>
      </c>
      <c r="E142" s="407">
        <f t="shared" si="32"/>
        <v>1</v>
      </c>
      <c r="F142" s="408">
        <f>IF(AND(F114&gt;='Detailed Feasibility'!$C$55,F114&lt;'Detailed Feasibility'!$D$55),('Detailed Feasibility Inputs'!$F$98/('Detailed Feasibility'!$D$55-'Detailed Feasibility'!$C$55)),0)</f>
        <v>0</v>
      </c>
      <c r="G142" s="408">
        <f>IF(G114="","",IF(AND(G114&gt;='Detailed Feasibility'!$C$55,G114&lt;'Detailed Feasibility'!$D$55),('Detailed Feasibility Inputs'!$F$98/('Detailed Feasibility'!$D$55-'Detailed Feasibility'!$C$55)),0))</f>
        <v>0</v>
      </c>
      <c r="H142" s="408">
        <f>IF(H114="","",IF(AND(H114&gt;='Detailed Feasibility'!$C$55,H114&lt;'Detailed Feasibility'!$D$55),('Detailed Feasibility Inputs'!$F$98/('Detailed Feasibility'!$D$55-'Detailed Feasibility'!$C$55)),0))</f>
        <v>0</v>
      </c>
      <c r="I142" s="408">
        <f>IF(I114="","",IF(AND(I114&gt;='Detailed Feasibility'!$C$55,I114&lt;'Detailed Feasibility'!$D$55),('Detailed Feasibility Inputs'!$F$98/('Detailed Feasibility'!$D$55-'Detailed Feasibility'!$C$55)),0))</f>
        <v>0</v>
      </c>
      <c r="J142" s="408">
        <f>IF(J114="","",IF(AND(J114&gt;='Detailed Feasibility'!$C$55,J114&lt;'Detailed Feasibility'!$D$55),('Detailed Feasibility Inputs'!$F$98/('Detailed Feasibility'!$D$55-'Detailed Feasibility'!$C$55)),0))</f>
        <v>55370</v>
      </c>
      <c r="K142" s="408">
        <f>IF(K114="","",IF(AND(K114&gt;='Detailed Feasibility'!$C$55,K114&lt;'Detailed Feasibility'!$D$55),('Detailed Feasibility Inputs'!$F$98/('Detailed Feasibility'!$D$55-'Detailed Feasibility'!$C$55)),0))</f>
        <v>55370</v>
      </c>
      <c r="L142" s="408">
        <f>IF(L114="","",IF(AND(L114&gt;='Detailed Feasibility'!$C$55,L114&lt;'Detailed Feasibility'!$D$55),('Detailed Feasibility Inputs'!$F$98/('Detailed Feasibility'!$D$55-'Detailed Feasibility'!$C$55)),0))</f>
        <v>55370</v>
      </c>
      <c r="M142" s="408">
        <f>IF(M114="","",IF(AND(M114&gt;='Detailed Feasibility'!$C$55,M114&lt;'Detailed Feasibility'!$D$55),('Detailed Feasibility Inputs'!$F$98/('Detailed Feasibility'!$D$55-'Detailed Feasibility'!$C$55)),0))</f>
        <v>55370</v>
      </c>
      <c r="N142" s="408">
        <f>IF(N114="","",IF(AND(N114&gt;='Detailed Feasibility'!$C$55,N114&lt;'Detailed Feasibility'!$D$55),('Detailed Feasibility Inputs'!$F$98/('Detailed Feasibility'!$D$55-'Detailed Feasibility'!$C$55)),0))</f>
        <v>55370</v>
      </c>
      <c r="O142" s="408">
        <f>IF(O114="","",IF(AND(O114&gt;='Detailed Feasibility'!$C$55,O114&lt;'Detailed Feasibility'!$D$55),('Detailed Feasibility Inputs'!$F$98/('Detailed Feasibility'!$D$55-'Detailed Feasibility'!$C$55)),0))</f>
        <v>55370</v>
      </c>
      <c r="P142" s="408">
        <f>IF(P114="","",IF(AND(P114&gt;='Detailed Feasibility'!$C$55,P114&lt;'Detailed Feasibility'!$D$55),('Detailed Feasibility Inputs'!$F$98/('Detailed Feasibility'!$D$55-'Detailed Feasibility'!$C$55)),0))</f>
        <v>55370</v>
      </c>
      <c r="Q142" s="408">
        <f>IF(Q114="","",IF(AND(Q114&gt;='Detailed Feasibility'!$C$55,Q114&lt;'Detailed Feasibility'!$D$55),('Detailed Feasibility Inputs'!$F$98/('Detailed Feasibility'!$D$55-'Detailed Feasibility'!$C$55)),0))</f>
        <v>55370</v>
      </c>
      <c r="R142" s="408">
        <f>IF(R114="","",IF(AND(R114&gt;='Detailed Feasibility'!$C$55,R114&lt;'Detailed Feasibility'!$D$55),('Detailed Feasibility Inputs'!$F$98/('Detailed Feasibility'!$D$55-'Detailed Feasibility'!$C$55)),0))</f>
        <v>55370</v>
      </c>
      <c r="S142" s="408">
        <f>IF(S114="","",IF(AND(S114&gt;='Detailed Feasibility'!$C$55,S114&lt;'Detailed Feasibility'!$D$55),('Detailed Feasibility Inputs'!$F$98/('Detailed Feasibility'!$D$55-'Detailed Feasibility'!$C$55)),0))</f>
        <v>55370</v>
      </c>
      <c r="T142" s="408">
        <f>IF(T114="","",IF(AND(T114&gt;='Detailed Feasibility'!$C$55,T114&lt;'Detailed Feasibility'!$D$55),('Detailed Feasibility Inputs'!$F$98/('Detailed Feasibility'!$D$55-'Detailed Feasibility'!$C$55)),0))</f>
        <v>55370</v>
      </c>
      <c r="U142" s="408">
        <f>IF(U114="","",IF(AND(U114&gt;='Detailed Feasibility'!$C$55,U114&lt;'Detailed Feasibility'!$D$55),('Detailed Feasibility Inputs'!$F$98/('Detailed Feasibility'!$D$55-'Detailed Feasibility'!$C$55)),0))</f>
        <v>55370</v>
      </c>
      <c r="V142" s="408">
        <f>IF(V114="","",IF(AND(V114&gt;='Detailed Feasibility'!$C$55,V114&lt;'Detailed Feasibility'!$D$55),('Detailed Feasibility Inputs'!$F$98/('Detailed Feasibility'!$D$55-'Detailed Feasibility'!$C$55)),0))</f>
        <v>55370</v>
      </c>
      <c r="W142" s="408">
        <f>IF(W114="","",IF(AND(W114&gt;='Detailed Feasibility'!$C$55,W114&lt;'Detailed Feasibility'!$D$55),('Detailed Feasibility Inputs'!$F$98/('Detailed Feasibility'!$D$55-'Detailed Feasibility'!$C$55)),0))</f>
        <v>55370</v>
      </c>
      <c r="X142" s="408">
        <f>IF(X114="","",IF(AND(X114&gt;='Detailed Feasibility'!$C$55,X114&lt;'Detailed Feasibility'!$D$55),('Detailed Feasibility Inputs'!$F$98/('Detailed Feasibility'!$D$55-'Detailed Feasibility'!$C$55)),0))</f>
        <v>55370</v>
      </c>
      <c r="Y142" s="408">
        <f>IF(Y114="","",IF(AND(Y114&gt;='Detailed Feasibility'!$C$55,Y114&lt;'Detailed Feasibility'!$D$55),('Detailed Feasibility Inputs'!$F$98/('Detailed Feasibility'!$D$55-'Detailed Feasibility'!$C$55)),0))</f>
        <v>0</v>
      </c>
      <c r="Z142" s="408">
        <f>IF(Z114="","",IF(AND(Z114&gt;='Detailed Feasibility'!$C$55,Z114&lt;'Detailed Feasibility'!$D$55),('Detailed Feasibility Inputs'!$F$98/('Detailed Feasibility'!$D$55-'Detailed Feasibility'!$C$55)),0))</f>
        <v>0</v>
      </c>
      <c r="AA142" s="408">
        <f>IF(AA114="","",IF(AND(AA114&gt;='Detailed Feasibility'!$C$55,AA114&lt;'Detailed Feasibility'!$D$55),('Detailed Feasibility Inputs'!$F$98/('Detailed Feasibility'!$D$55-'Detailed Feasibility'!$C$55)),0))</f>
        <v>0</v>
      </c>
      <c r="AB142" s="408">
        <f>IF(AB114="","",IF(AND(AB114&gt;='Detailed Feasibility'!$C$55,AB114&lt;'Detailed Feasibility'!$D$55),('Detailed Feasibility Inputs'!$F$98/('Detailed Feasibility'!$D$55-'Detailed Feasibility'!$C$55)),0))</f>
        <v>0</v>
      </c>
      <c r="AC142" s="408">
        <f>IF(AC114="","",IF(AND(AC114&gt;='Detailed Feasibility'!$C$55,AC114&lt;'Detailed Feasibility'!$D$55),('Detailed Feasibility Inputs'!$F$98/('Detailed Feasibility'!$D$55-'Detailed Feasibility'!$C$55)),0))</f>
        <v>0</v>
      </c>
      <c r="AD142" s="408">
        <f>IF(AD114="","",IF(AND(AD114&gt;='Detailed Feasibility'!$C$55,AD114&lt;'Detailed Feasibility'!$D$55),('Detailed Feasibility Inputs'!$F$98/('Detailed Feasibility'!$D$55-'Detailed Feasibility'!$C$55)),0))</f>
        <v>0</v>
      </c>
      <c r="AE142" s="408">
        <f>IF(AE114="","",IF(AND(AE114&gt;='Detailed Feasibility'!$C$55,AE114&lt;'Detailed Feasibility'!$D$55),('Detailed Feasibility Inputs'!$F$98/('Detailed Feasibility'!$D$55-'Detailed Feasibility'!$C$55)),0))</f>
        <v>0</v>
      </c>
      <c r="AF142" s="408">
        <f>IF(AF114="","",IF(AND(AF114&gt;='Detailed Feasibility'!$C$55,AF114&lt;'Detailed Feasibility'!$D$55),('Detailed Feasibility Inputs'!$F$98/('Detailed Feasibility'!$D$55-'Detailed Feasibility'!$C$55)),0))</f>
        <v>0</v>
      </c>
      <c r="AG142" s="408">
        <f>IF(AG114="","",IF(AND(AG114&gt;='Detailed Feasibility'!$C$55,AG114&lt;'Detailed Feasibility'!$D$55),('Detailed Feasibility Inputs'!$F$98/('Detailed Feasibility'!$D$55-'Detailed Feasibility'!$C$55)),0))</f>
        <v>0</v>
      </c>
      <c r="AH142" s="408">
        <f>IF(AH114="","",IF(AND(AH114&gt;='Detailed Feasibility'!$C$55,AH114&lt;'Detailed Feasibility'!$D$55),('Detailed Feasibility Inputs'!$F$98/('Detailed Feasibility'!$D$55-'Detailed Feasibility'!$C$55)),0))</f>
        <v>0</v>
      </c>
      <c r="AI142" s="408">
        <f>IF(AI114="","",IF(AND(AI114&gt;='Detailed Feasibility'!$C$55,AI114&lt;'Detailed Feasibility'!$D$55),('Detailed Feasibility Inputs'!$F$98/('Detailed Feasibility'!$D$55-'Detailed Feasibility'!$C$55)),0))</f>
        <v>0</v>
      </c>
      <c r="AJ142" s="408">
        <f>IF(AJ114="","",IF(AND(AJ114&gt;='Detailed Feasibility'!$C$55,AJ114&lt;'Detailed Feasibility'!$D$55),('Detailed Feasibility Inputs'!$F$98/('Detailed Feasibility'!$D$55-'Detailed Feasibility'!$C$55)),0))</f>
        <v>0</v>
      </c>
      <c r="AK142" s="408">
        <f>IF(AK114="","",IF(AND(AK114&gt;='Detailed Feasibility'!$C$55,AK114&lt;'Detailed Feasibility'!$D$55),('Detailed Feasibility Inputs'!$F$98/('Detailed Feasibility'!$D$55-'Detailed Feasibility'!$C$55)),0))</f>
        <v>0</v>
      </c>
      <c r="AL142" s="408">
        <f>IF(AL114="","",IF(AND(AL114&gt;='Detailed Feasibility'!$C$55,AL114&lt;'Detailed Feasibility'!$D$55),('Detailed Feasibility Inputs'!$F$98/('Detailed Feasibility'!$D$55-'Detailed Feasibility'!$C$55)),0))</f>
        <v>0</v>
      </c>
      <c r="AM142" s="408">
        <f>IF(AM114="","",IF(AND(AM114&gt;='Detailed Feasibility'!$C$55,AM114&lt;'Detailed Feasibility'!$D$55),('Detailed Feasibility Inputs'!$F$98/('Detailed Feasibility'!$D$55-'Detailed Feasibility'!$C$55)),0))</f>
        <v>0</v>
      </c>
      <c r="AN142" s="408">
        <f>IF(AN114="","",IF(AND(AN114&gt;='Detailed Feasibility'!$C$55,AN114&lt;'Detailed Feasibility'!$D$55),('Detailed Feasibility Inputs'!$F$98/('Detailed Feasibility'!$D$55-'Detailed Feasibility'!$C$55)),0))</f>
        <v>0</v>
      </c>
      <c r="AO142" s="408">
        <f>IF(AO114="","",IF(AND(AO114&gt;='Detailed Feasibility'!$C$55,AO114&lt;'Detailed Feasibility'!$D$55),('Detailed Feasibility Inputs'!$F$98/('Detailed Feasibility'!$D$55-'Detailed Feasibility'!$C$55)),0))</f>
        <v>0</v>
      </c>
      <c r="AP142" s="408">
        <f>IF(AP114="","",IF(AND(AP114&gt;='Detailed Feasibility'!$C$55,AP114&lt;'Detailed Feasibility'!$D$55),('Detailed Feasibility Inputs'!$F$98/('Detailed Feasibility'!$D$55-'Detailed Feasibility'!$C$55)),0))</f>
        <v>0</v>
      </c>
      <c r="AQ142" s="408" t="str">
        <f>IF(AQ114="","",IF(AND(AQ114&gt;='Detailed Feasibility'!$C$55,AQ114&lt;'Detailed Feasibility'!$D$55),('Detailed Feasibility Inputs'!$F$98/('Detailed Feasibility'!$D$55-'Detailed Feasibility'!$C$55)),0))</f>
        <v/>
      </c>
      <c r="AR142" s="408" t="str">
        <f>IF(AR114="","",IF(AND(AR114&gt;='Detailed Feasibility'!$C$55,AR114&lt;'Detailed Feasibility'!$D$55),('Detailed Feasibility Inputs'!$F$98/('Detailed Feasibility'!$D$55-'Detailed Feasibility'!$C$55)),0))</f>
        <v/>
      </c>
      <c r="AS142" s="408" t="str">
        <f>IF(AS114="","",IF(AND(AS114&gt;='Detailed Feasibility'!$C$55,AS114&lt;'Detailed Feasibility'!$D$55),('Detailed Feasibility Inputs'!$F$98/('Detailed Feasibility'!$D$55-'Detailed Feasibility'!$C$55)),0))</f>
        <v/>
      </c>
      <c r="AT142" s="408" t="str">
        <f>IF(AT114="","",IF(AND(AT114&gt;='Detailed Feasibility'!$C$55,AT114&lt;'Detailed Feasibility'!$D$55),('Detailed Feasibility Inputs'!$F$98/('Detailed Feasibility'!$D$55-'Detailed Feasibility'!$C$55)),0))</f>
        <v/>
      </c>
      <c r="AU142" s="408" t="str">
        <f>IF(AU114="","",IF(AND(AU114&gt;='Detailed Feasibility'!$C$55,AU114&lt;'Detailed Feasibility'!$D$55),('Detailed Feasibility Inputs'!$F$98/('Detailed Feasibility'!$D$55-'Detailed Feasibility'!$C$55)),0))</f>
        <v/>
      </c>
      <c r="AV142" s="408" t="str">
        <f>IF(AV114="","",IF(AND(AV114&gt;='Detailed Feasibility'!$C$55,AV114&lt;'Detailed Feasibility'!$D$55),('Detailed Feasibility Inputs'!$F$98/('Detailed Feasibility'!$D$55-'Detailed Feasibility'!$C$55)),0))</f>
        <v/>
      </c>
      <c r="AW142" s="408" t="str">
        <f>IF(AW114="","",IF(AND(AW114&gt;='Detailed Feasibility'!$C$55,AW114&lt;'Detailed Feasibility'!$D$55),('Detailed Feasibility Inputs'!$F$98/('Detailed Feasibility'!$D$55-'Detailed Feasibility'!$C$55)),0))</f>
        <v/>
      </c>
      <c r="AX142" s="408" t="str">
        <f>IF(AX114="","",IF(AND(AX114&gt;='Detailed Feasibility'!$C$55,AX114&lt;'Detailed Feasibility'!$D$55),('Detailed Feasibility Inputs'!$F$98/('Detailed Feasibility'!$D$55-'Detailed Feasibility'!$C$55)),0))</f>
        <v/>
      </c>
      <c r="AY142" s="408" t="str">
        <f>IF(AY114="","",IF(AND(AY114&gt;='Detailed Feasibility'!$C$55,AY114&lt;'Detailed Feasibility'!$D$55),('Detailed Feasibility Inputs'!$F$98/('Detailed Feasibility'!$D$55-'Detailed Feasibility'!$C$55)),0))</f>
        <v/>
      </c>
      <c r="AZ142" s="408" t="str">
        <f>IF(AZ114="","",IF(AND(AZ114&gt;='Detailed Feasibility'!$C$55,AZ114&lt;'Detailed Feasibility'!$D$55),('Detailed Feasibility Inputs'!$F$98/('Detailed Feasibility'!$D$55-'Detailed Feasibility'!$C$55)),0))</f>
        <v/>
      </c>
      <c r="BA142" s="408" t="str">
        <f>IF(BA114="","",IF(AND(BA114&gt;='Detailed Feasibility'!$C$55,BA114&lt;'Detailed Feasibility'!$D$55),('Detailed Feasibility Inputs'!$F$98/('Detailed Feasibility'!$D$55-'Detailed Feasibility'!$C$55)),0))</f>
        <v/>
      </c>
      <c r="BB142" s="408" t="str">
        <f>IF(BB114="","",IF(AND(BB114&gt;='Detailed Feasibility'!$C$55,BB114&lt;'Detailed Feasibility'!$D$55),('Detailed Feasibility Inputs'!$F$98/('Detailed Feasibility'!$D$55-'Detailed Feasibility'!$C$55)),0))</f>
        <v/>
      </c>
      <c r="BC142" s="408" t="str">
        <f>IF(BC114="","",IF(AND(BC114&gt;='Detailed Feasibility'!$C$55,BC114&lt;'Detailed Feasibility'!$D$55),('Detailed Feasibility Inputs'!$F$98/('Detailed Feasibility'!$D$55-'Detailed Feasibility'!$C$55)),0))</f>
        <v/>
      </c>
      <c r="BD142" s="408" t="str">
        <f>IF(BD114="","",IF(AND(BD114&gt;='Detailed Feasibility'!$C$55,BD114&lt;'Detailed Feasibility'!$D$55),('Detailed Feasibility Inputs'!$F$98/('Detailed Feasibility'!$D$55-'Detailed Feasibility'!$C$55)),0))</f>
        <v/>
      </c>
      <c r="BE142" s="408" t="str">
        <f>IF(BE114="","",IF(AND(BE114&gt;='Detailed Feasibility'!$C$55,BE114&lt;'Detailed Feasibility'!$D$55),('Detailed Feasibility Inputs'!$F$98/('Detailed Feasibility'!$D$55-'Detailed Feasibility'!$C$55)),0))</f>
        <v/>
      </c>
      <c r="BF142" s="408" t="str">
        <f>IF(BF114="","",IF(AND(BF114&gt;='Detailed Feasibility'!$C$55,BF114&lt;'Detailed Feasibility'!$D$55),('Detailed Feasibility Inputs'!$F$98/('Detailed Feasibility'!$D$55-'Detailed Feasibility'!$C$55)),0))</f>
        <v/>
      </c>
      <c r="BG142" s="408" t="str">
        <f>IF(BG114="","",IF(AND(BG114&gt;='Detailed Feasibility'!$C$55,BG114&lt;'Detailed Feasibility'!$D$55),('Detailed Feasibility Inputs'!$F$98/('Detailed Feasibility'!$D$55-'Detailed Feasibility'!$C$55)),0))</f>
        <v/>
      </c>
      <c r="BH142" s="408" t="str">
        <f>IF(BH114="","",IF(AND(BH114&gt;='Detailed Feasibility'!$C$55,BH114&lt;'Detailed Feasibility'!$D$55),('Detailed Feasibility Inputs'!$F$98/('Detailed Feasibility'!$D$55-'Detailed Feasibility'!$C$55)),0))</f>
        <v/>
      </c>
      <c r="BI142" s="408" t="str">
        <f>IF(BI114="","",IF(AND(BI114&gt;='Detailed Feasibility'!$C$55,BI114&lt;'Detailed Feasibility'!$D$55),('Detailed Feasibility Inputs'!$F$98/('Detailed Feasibility'!$D$55-'Detailed Feasibility'!$C$55)),0))</f>
        <v/>
      </c>
      <c r="BJ142" s="408" t="str">
        <f>IF(BJ114="","",IF(AND(BJ114&gt;='Detailed Feasibility'!$C$55,BJ114&lt;'Detailed Feasibility'!$D$55),('Detailed Feasibility Inputs'!$F$98/('Detailed Feasibility'!$D$55-'Detailed Feasibility'!$C$55)),0))</f>
        <v/>
      </c>
      <c r="BK142" s="408" t="str">
        <f>IF(BK114="","",IF(AND(BK114&gt;='Detailed Feasibility'!$C$55,BK114&lt;'Detailed Feasibility'!$D$55),('Detailed Feasibility Inputs'!$F$98/('Detailed Feasibility'!$D$55-'Detailed Feasibility'!$C$55)),0))</f>
        <v/>
      </c>
      <c r="BL142" s="408" t="str">
        <f>IF(BL114="","",IF(AND(BL114&gt;='Detailed Feasibility'!$C$55,BL114&lt;'Detailed Feasibility'!$D$55),('Detailed Feasibility Inputs'!$F$98/('Detailed Feasibility'!$D$55-'Detailed Feasibility'!$C$55)),0))</f>
        <v/>
      </c>
      <c r="BM142" s="409" t="str">
        <f>IF(BM114="","",IF(AND(BM114&gt;='Detailed Feasibility'!$C$55,BM114&lt;'Detailed Feasibility'!$D$55),('Detailed Feasibility Inputs'!$F$98/('Detailed Feasibility'!$D$55-'Detailed Feasibility'!$C$55)),0))</f>
        <v/>
      </c>
    </row>
    <row r="143" spans="2:65" s="307" customFormat="1" x14ac:dyDescent="0.45">
      <c r="B143" s="648" t="str">
        <f>B56</f>
        <v>Council Costs</v>
      </c>
      <c r="C143" s="407"/>
      <c r="D143" s="345">
        <f>'Detailed Feasibility Inputs'!F108</f>
        <v>414000</v>
      </c>
      <c r="E143" s="407">
        <f t="shared" si="32"/>
        <v>1</v>
      </c>
      <c r="F143" s="408">
        <f>IF(AND(F114&gt;='Detailed Feasibility'!$C$56,F114&lt;'Detailed Feasibility'!$D$56),('Detailed Feasibility Inputs'!$F$108/('Detailed Feasibility'!$D$56-'Detailed Feasibility'!$C$56)),0)</f>
        <v>0</v>
      </c>
      <c r="G143" s="408">
        <f>IF(G114="","",IF(AND(G114&gt;='Detailed Feasibility'!$C$56,G114&lt;'Detailed Feasibility'!$D$56),('Detailed Feasibility Inputs'!$F$108/('Detailed Feasibility'!$D$56-'Detailed Feasibility'!$C$56)),0))</f>
        <v>0</v>
      </c>
      <c r="H143" s="408">
        <f>IF(H114="","",IF(AND(H114&gt;='Detailed Feasibility'!$C$56,H114&lt;'Detailed Feasibility'!$D$56),('Detailed Feasibility Inputs'!$F$108/('Detailed Feasibility'!$D$56-'Detailed Feasibility'!$C$56)),0))</f>
        <v>0</v>
      </c>
      <c r="I143" s="408">
        <f>IF(I114="","",IF(AND(I114&gt;='Detailed Feasibility'!$C$56,I114&lt;'Detailed Feasibility'!$D$56),('Detailed Feasibility Inputs'!$F$108/('Detailed Feasibility'!$D$56-'Detailed Feasibility'!$C$56)),0))</f>
        <v>0</v>
      </c>
      <c r="J143" s="408">
        <f>IF(J114="","",IF(AND(J114&gt;='Detailed Feasibility'!$C$56,J114&lt;'Detailed Feasibility'!$D$56),('Detailed Feasibility Inputs'!$F$108/('Detailed Feasibility'!$D$56-'Detailed Feasibility'!$C$56)),0))</f>
        <v>0</v>
      </c>
      <c r="K143" s="408">
        <f>IF(K114="","",IF(AND(K114&gt;='Detailed Feasibility'!$C$56,K114&lt;'Detailed Feasibility'!$D$56),('Detailed Feasibility Inputs'!$F$108/('Detailed Feasibility'!$D$56-'Detailed Feasibility'!$C$56)),0))</f>
        <v>29571.428571428572</v>
      </c>
      <c r="L143" s="408">
        <f>IF(L114="","",IF(AND(L114&gt;='Detailed Feasibility'!$C$56,L114&lt;'Detailed Feasibility'!$D$56),('Detailed Feasibility Inputs'!$F$108/('Detailed Feasibility'!$D$56-'Detailed Feasibility'!$C$56)),0))</f>
        <v>29571.428571428572</v>
      </c>
      <c r="M143" s="408">
        <f>IF(M114="","",IF(AND(M114&gt;='Detailed Feasibility'!$C$56,M114&lt;'Detailed Feasibility'!$D$56),('Detailed Feasibility Inputs'!$F$108/('Detailed Feasibility'!$D$56-'Detailed Feasibility'!$C$56)),0))</f>
        <v>29571.428571428572</v>
      </c>
      <c r="N143" s="408">
        <f>IF(N114="","",IF(AND(N114&gt;='Detailed Feasibility'!$C$56,N114&lt;'Detailed Feasibility'!$D$56),('Detailed Feasibility Inputs'!$F$108/('Detailed Feasibility'!$D$56-'Detailed Feasibility'!$C$56)),0))</f>
        <v>29571.428571428572</v>
      </c>
      <c r="O143" s="408">
        <f>IF(O114="","",IF(AND(O114&gt;='Detailed Feasibility'!$C$56,O114&lt;'Detailed Feasibility'!$D$56),('Detailed Feasibility Inputs'!$F$108/('Detailed Feasibility'!$D$56-'Detailed Feasibility'!$C$56)),0))</f>
        <v>29571.428571428572</v>
      </c>
      <c r="P143" s="408">
        <f>IF(P114="","",IF(AND(P114&gt;='Detailed Feasibility'!$C$56,P114&lt;'Detailed Feasibility'!$D$56),('Detailed Feasibility Inputs'!$F$108/('Detailed Feasibility'!$D$56-'Detailed Feasibility'!$C$56)),0))</f>
        <v>29571.428571428572</v>
      </c>
      <c r="Q143" s="408">
        <f>IF(Q114="","",IF(AND(Q114&gt;='Detailed Feasibility'!$C$56,Q114&lt;'Detailed Feasibility'!$D$56),('Detailed Feasibility Inputs'!$F$108/('Detailed Feasibility'!$D$56-'Detailed Feasibility'!$C$56)),0))</f>
        <v>29571.428571428572</v>
      </c>
      <c r="R143" s="408">
        <f>IF(R114="","",IF(AND(R114&gt;='Detailed Feasibility'!$C$56,R114&lt;'Detailed Feasibility'!$D$56),('Detailed Feasibility Inputs'!$F$108/('Detailed Feasibility'!$D$56-'Detailed Feasibility'!$C$56)),0))</f>
        <v>29571.428571428572</v>
      </c>
      <c r="S143" s="408">
        <f>IF(S114="","",IF(AND(S114&gt;='Detailed Feasibility'!$C$56,S114&lt;'Detailed Feasibility'!$D$56),('Detailed Feasibility Inputs'!$F$108/('Detailed Feasibility'!$D$56-'Detailed Feasibility'!$C$56)),0))</f>
        <v>29571.428571428572</v>
      </c>
      <c r="T143" s="408">
        <f>IF(T114="","",IF(AND(T114&gt;='Detailed Feasibility'!$C$56,T114&lt;'Detailed Feasibility'!$D$56),('Detailed Feasibility Inputs'!$F$108/('Detailed Feasibility'!$D$56-'Detailed Feasibility'!$C$56)),0))</f>
        <v>29571.428571428572</v>
      </c>
      <c r="U143" s="408">
        <f>IF(U114="","",IF(AND(U114&gt;='Detailed Feasibility'!$C$56,U114&lt;'Detailed Feasibility'!$D$56),('Detailed Feasibility Inputs'!$F$108/('Detailed Feasibility'!$D$56-'Detailed Feasibility'!$C$56)),0))</f>
        <v>29571.428571428572</v>
      </c>
      <c r="V143" s="408">
        <f>IF(V114="","",IF(AND(V114&gt;='Detailed Feasibility'!$C$56,V114&lt;'Detailed Feasibility'!$D$56),('Detailed Feasibility Inputs'!$F$108/('Detailed Feasibility'!$D$56-'Detailed Feasibility'!$C$56)),0))</f>
        <v>29571.428571428572</v>
      </c>
      <c r="W143" s="408">
        <f>IF(W114="","",IF(AND(W114&gt;='Detailed Feasibility'!$C$56,W114&lt;'Detailed Feasibility'!$D$56),('Detailed Feasibility Inputs'!$F$108/('Detailed Feasibility'!$D$56-'Detailed Feasibility'!$C$56)),0))</f>
        <v>29571.428571428572</v>
      </c>
      <c r="X143" s="408">
        <f>IF(X114="","",IF(AND(X114&gt;='Detailed Feasibility'!$C$56,X114&lt;'Detailed Feasibility'!$D$56),('Detailed Feasibility Inputs'!$F$108/('Detailed Feasibility'!$D$56-'Detailed Feasibility'!$C$56)),0))</f>
        <v>29571.428571428572</v>
      </c>
      <c r="Y143" s="408">
        <f>IF(Y114="","",IF(AND(Y114&gt;='Detailed Feasibility'!$C$56,Y114&lt;'Detailed Feasibility'!$D$56),('Detailed Feasibility Inputs'!$F$108/('Detailed Feasibility'!$D$56-'Detailed Feasibility'!$C$56)),0))</f>
        <v>0</v>
      </c>
      <c r="Z143" s="408">
        <f>IF(Z114="","",IF(AND(Z114&gt;='Detailed Feasibility'!$C$56,Z114&lt;'Detailed Feasibility'!$D$56),('Detailed Feasibility Inputs'!$F$108/('Detailed Feasibility'!$D$56-'Detailed Feasibility'!$C$56)),0))</f>
        <v>0</v>
      </c>
      <c r="AA143" s="408">
        <f>IF(AA114="","",IF(AND(AA114&gt;='Detailed Feasibility'!$C$56,AA114&lt;'Detailed Feasibility'!$D$56),('Detailed Feasibility Inputs'!$F$108/('Detailed Feasibility'!$D$56-'Detailed Feasibility'!$C$56)),0))</f>
        <v>0</v>
      </c>
      <c r="AB143" s="408">
        <f>IF(AB114="","",IF(AND(AB114&gt;='Detailed Feasibility'!$C$56,AB114&lt;'Detailed Feasibility'!$D$56),('Detailed Feasibility Inputs'!$F$108/('Detailed Feasibility'!$D$56-'Detailed Feasibility'!$C$56)),0))</f>
        <v>0</v>
      </c>
      <c r="AC143" s="408">
        <f>IF(AC114="","",IF(AND(AC114&gt;='Detailed Feasibility'!$C$56,AC114&lt;'Detailed Feasibility'!$D$56),('Detailed Feasibility Inputs'!$F$108/('Detailed Feasibility'!$D$56-'Detailed Feasibility'!$C$56)),0))</f>
        <v>0</v>
      </c>
      <c r="AD143" s="408">
        <f>IF(AD114="","",IF(AND(AD114&gt;='Detailed Feasibility'!$C$56,AD114&lt;'Detailed Feasibility'!$D$56),('Detailed Feasibility Inputs'!$F$108/('Detailed Feasibility'!$D$56-'Detailed Feasibility'!$C$56)),0))</f>
        <v>0</v>
      </c>
      <c r="AE143" s="408">
        <f>IF(AE114="","",IF(AND(AE114&gt;='Detailed Feasibility'!$C$56,AE114&lt;'Detailed Feasibility'!$D$56),('Detailed Feasibility Inputs'!$F$108/('Detailed Feasibility'!$D$56-'Detailed Feasibility'!$C$56)),0))</f>
        <v>0</v>
      </c>
      <c r="AF143" s="408">
        <f>IF(AF114="","",IF(AND(AF114&gt;='Detailed Feasibility'!$C$56,AF114&lt;'Detailed Feasibility'!$D$56),('Detailed Feasibility Inputs'!$F$108/('Detailed Feasibility'!$D$56-'Detailed Feasibility'!$C$56)),0))</f>
        <v>0</v>
      </c>
      <c r="AG143" s="408">
        <f>IF(AG114="","",IF(AND(AG114&gt;='Detailed Feasibility'!$C$56,AG114&lt;'Detailed Feasibility'!$D$56),('Detailed Feasibility Inputs'!$F$108/('Detailed Feasibility'!$D$56-'Detailed Feasibility'!$C$56)),0))</f>
        <v>0</v>
      </c>
      <c r="AH143" s="408">
        <f>IF(AH114="","",IF(AND(AH114&gt;='Detailed Feasibility'!$C$56,AH114&lt;'Detailed Feasibility'!$D$56),('Detailed Feasibility Inputs'!$F$108/('Detailed Feasibility'!$D$56-'Detailed Feasibility'!$C$56)),0))</f>
        <v>0</v>
      </c>
      <c r="AI143" s="408">
        <f>IF(AI114="","",IF(AND(AI114&gt;='Detailed Feasibility'!$C$56,AI114&lt;'Detailed Feasibility'!$D$56),('Detailed Feasibility Inputs'!$F$108/('Detailed Feasibility'!$D$56-'Detailed Feasibility'!$C$56)),0))</f>
        <v>0</v>
      </c>
      <c r="AJ143" s="408">
        <f>IF(AJ114="","",IF(AND(AJ114&gt;='Detailed Feasibility'!$C$56,AJ114&lt;'Detailed Feasibility'!$D$56),('Detailed Feasibility Inputs'!$F$108/('Detailed Feasibility'!$D$56-'Detailed Feasibility'!$C$56)),0))</f>
        <v>0</v>
      </c>
      <c r="AK143" s="408">
        <f>IF(AK114="","",IF(AND(AK114&gt;='Detailed Feasibility'!$C$56,AK114&lt;'Detailed Feasibility'!$D$56),('Detailed Feasibility Inputs'!$F$108/('Detailed Feasibility'!$D$56-'Detailed Feasibility'!$C$56)),0))</f>
        <v>0</v>
      </c>
      <c r="AL143" s="408">
        <f>IF(AL114="","",IF(AND(AL114&gt;='Detailed Feasibility'!$C$56,AL114&lt;'Detailed Feasibility'!$D$56),('Detailed Feasibility Inputs'!$F$108/('Detailed Feasibility'!$D$56-'Detailed Feasibility'!$C$56)),0))</f>
        <v>0</v>
      </c>
      <c r="AM143" s="408">
        <f>IF(AM114="","",IF(AND(AM114&gt;='Detailed Feasibility'!$C$56,AM114&lt;'Detailed Feasibility'!$D$56),('Detailed Feasibility Inputs'!$F$108/('Detailed Feasibility'!$D$56-'Detailed Feasibility'!$C$56)),0))</f>
        <v>0</v>
      </c>
      <c r="AN143" s="408">
        <f>IF(AN114="","",IF(AND(AN114&gt;='Detailed Feasibility'!$C$56,AN114&lt;'Detailed Feasibility'!$D$56),('Detailed Feasibility Inputs'!$F$108/('Detailed Feasibility'!$D$56-'Detailed Feasibility'!$C$56)),0))</f>
        <v>0</v>
      </c>
      <c r="AO143" s="408">
        <f>IF(AO114="","",IF(AND(AO114&gt;='Detailed Feasibility'!$C$56,AO114&lt;'Detailed Feasibility'!$D$56),('Detailed Feasibility Inputs'!$F$108/('Detailed Feasibility'!$D$56-'Detailed Feasibility'!$C$56)),0))</f>
        <v>0</v>
      </c>
      <c r="AP143" s="408">
        <f>IF(AP114="","",IF(AND(AP114&gt;='Detailed Feasibility'!$C$56,AP114&lt;'Detailed Feasibility'!$D$56),('Detailed Feasibility Inputs'!$F$108/('Detailed Feasibility'!$D$56-'Detailed Feasibility'!$C$56)),0))</f>
        <v>0</v>
      </c>
      <c r="AQ143" s="408" t="str">
        <f>IF(AQ114="","",IF(AND(AQ114&gt;='Detailed Feasibility'!$C$56,AQ114&lt;'Detailed Feasibility'!$D$56),('Detailed Feasibility Inputs'!$F$108/('Detailed Feasibility'!$D$56-'Detailed Feasibility'!$C$56)),0))</f>
        <v/>
      </c>
      <c r="AR143" s="408" t="str">
        <f>IF(AR114="","",IF(AND(AR114&gt;='Detailed Feasibility'!$C$56,AR114&lt;'Detailed Feasibility'!$D$56),('Detailed Feasibility Inputs'!$F$108/('Detailed Feasibility'!$D$56-'Detailed Feasibility'!$C$56)),0))</f>
        <v/>
      </c>
      <c r="AS143" s="408" t="str">
        <f>IF(AS114="","",IF(AND(AS114&gt;='Detailed Feasibility'!$C$56,AS114&lt;'Detailed Feasibility'!$D$56),('Detailed Feasibility Inputs'!$F$108/('Detailed Feasibility'!$D$56-'Detailed Feasibility'!$C$56)),0))</f>
        <v/>
      </c>
      <c r="AT143" s="408" t="str">
        <f>IF(AT114="","",IF(AND(AT114&gt;='Detailed Feasibility'!$C$56,AT114&lt;'Detailed Feasibility'!$D$56),('Detailed Feasibility Inputs'!$F$108/('Detailed Feasibility'!$D$56-'Detailed Feasibility'!$C$56)),0))</f>
        <v/>
      </c>
      <c r="AU143" s="408" t="str">
        <f>IF(AU114="","",IF(AND(AU114&gt;='Detailed Feasibility'!$C$56,AU114&lt;'Detailed Feasibility'!$D$56),('Detailed Feasibility Inputs'!$F$108/('Detailed Feasibility'!$D$56-'Detailed Feasibility'!$C$56)),0))</f>
        <v/>
      </c>
      <c r="AV143" s="408" t="str">
        <f>IF(AV114="","",IF(AND(AV114&gt;='Detailed Feasibility'!$C$56,AV114&lt;'Detailed Feasibility'!$D$56),('Detailed Feasibility Inputs'!$F$108/('Detailed Feasibility'!$D$56-'Detailed Feasibility'!$C$56)),0))</f>
        <v/>
      </c>
      <c r="AW143" s="408" t="str">
        <f>IF(AW114="","",IF(AND(AW114&gt;='Detailed Feasibility'!$C$56,AW114&lt;'Detailed Feasibility'!$D$56),('Detailed Feasibility Inputs'!$F$108/('Detailed Feasibility'!$D$56-'Detailed Feasibility'!$C$56)),0))</f>
        <v/>
      </c>
      <c r="AX143" s="408" t="str">
        <f>IF(AX114="","",IF(AND(AX114&gt;='Detailed Feasibility'!$C$56,AX114&lt;'Detailed Feasibility'!$D$56),('Detailed Feasibility Inputs'!$F$108/('Detailed Feasibility'!$D$56-'Detailed Feasibility'!$C$56)),0))</f>
        <v/>
      </c>
      <c r="AY143" s="408" t="str">
        <f>IF(AY114="","",IF(AND(AY114&gt;='Detailed Feasibility'!$C$56,AY114&lt;'Detailed Feasibility'!$D$56),('Detailed Feasibility Inputs'!$F$108/('Detailed Feasibility'!$D$56-'Detailed Feasibility'!$C$56)),0))</f>
        <v/>
      </c>
      <c r="AZ143" s="408" t="str">
        <f>IF(AZ114="","",IF(AND(AZ114&gt;='Detailed Feasibility'!$C$56,AZ114&lt;'Detailed Feasibility'!$D$56),('Detailed Feasibility Inputs'!$F$108/('Detailed Feasibility'!$D$56-'Detailed Feasibility'!$C$56)),0))</f>
        <v/>
      </c>
      <c r="BA143" s="408" t="str">
        <f>IF(BA114="","",IF(AND(BA114&gt;='Detailed Feasibility'!$C$56,BA114&lt;'Detailed Feasibility'!$D$56),('Detailed Feasibility Inputs'!$F$108/('Detailed Feasibility'!$D$56-'Detailed Feasibility'!$C$56)),0))</f>
        <v/>
      </c>
      <c r="BB143" s="408" t="str">
        <f>IF(BB114="","",IF(AND(BB114&gt;='Detailed Feasibility'!$C$56,BB114&lt;'Detailed Feasibility'!$D$56),('Detailed Feasibility Inputs'!$F$108/('Detailed Feasibility'!$D$56-'Detailed Feasibility'!$C$56)),0))</f>
        <v/>
      </c>
      <c r="BC143" s="408" t="str">
        <f>IF(BC114="","",IF(AND(BC114&gt;='Detailed Feasibility'!$C$56,BC114&lt;'Detailed Feasibility'!$D$56),('Detailed Feasibility Inputs'!$F$108/('Detailed Feasibility'!$D$56-'Detailed Feasibility'!$C$56)),0))</f>
        <v/>
      </c>
      <c r="BD143" s="408" t="str">
        <f>IF(BD114="","",IF(AND(BD114&gt;='Detailed Feasibility'!$C$56,BD114&lt;'Detailed Feasibility'!$D$56),('Detailed Feasibility Inputs'!$F$108/('Detailed Feasibility'!$D$56-'Detailed Feasibility'!$C$56)),0))</f>
        <v/>
      </c>
      <c r="BE143" s="408" t="str">
        <f>IF(BE114="","",IF(AND(BE114&gt;='Detailed Feasibility'!$C$56,BE114&lt;'Detailed Feasibility'!$D$56),('Detailed Feasibility Inputs'!$F$108/('Detailed Feasibility'!$D$56-'Detailed Feasibility'!$C$56)),0))</f>
        <v/>
      </c>
      <c r="BF143" s="408" t="str">
        <f>IF(BF114="","",IF(AND(BF114&gt;='Detailed Feasibility'!$C$56,BF114&lt;'Detailed Feasibility'!$D$56),('Detailed Feasibility Inputs'!$F$108/('Detailed Feasibility'!$D$56-'Detailed Feasibility'!$C$56)),0))</f>
        <v/>
      </c>
      <c r="BG143" s="408" t="str">
        <f>IF(BG114="","",IF(AND(BG114&gt;='Detailed Feasibility'!$C$56,BG114&lt;'Detailed Feasibility'!$D$56),('Detailed Feasibility Inputs'!$F$108/('Detailed Feasibility'!$D$56-'Detailed Feasibility'!$C$56)),0))</f>
        <v/>
      </c>
      <c r="BH143" s="408" t="str">
        <f>IF(BH114="","",IF(AND(BH114&gt;='Detailed Feasibility'!$C$56,BH114&lt;'Detailed Feasibility'!$D$56),('Detailed Feasibility Inputs'!$F$108/('Detailed Feasibility'!$D$56-'Detailed Feasibility'!$C$56)),0))</f>
        <v/>
      </c>
      <c r="BI143" s="408" t="str">
        <f>IF(BI114="","",IF(AND(BI114&gt;='Detailed Feasibility'!$C$56,BI114&lt;'Detailed Feasibility'!$D$56),('Detailed Feasibility Inputs'!$F$108/('Detailed Feasibility'!$D$56-'Detailed Feasibility'!$C$56)),0))</f>
        <v/>
      </c>
      <c r="BJ143" s="408" t="str">
        <f>IF(BJ114="","",IF(AND(BJ114&gt;='Detailed Feasibility'!$C$56,BJ114&lt;'Detailed Feasibility'!$D$56),('Detailed Feasibility Inputs'!$F$108/('Detailed Feasibility'!$D$56-'Detailed Feasibility'!$C$56)),0))</f>
        <v/>
      </c>
      <c r="BK143" s="408" t="str">
        <f>IF(BK114="","",IF(AND(BK114&gt;='Detailed Feasibility'!$C$56,BK114&lt;'Detailed Feasibility'!$D$56),('Detailed Feasibility Inputs'!$F$108/('Detailed Feasibility'!$D$56-'Detailed Feasibility'!$C$56)),0))</f>
        <v/>
      </c>
      <c r="BL143" s="408" t="str">
        <f>IF(BL114="","",IF(AND(BL114&gt;='Detailed Feasibility'!$C$56,BL114&lt;'Detailed Feasibility'!$D$56),('Detailed Feasibility Inputs'!$F$108/('Detailed Feasibility'!$D$56-'Detailed Feasibility'!$C$56)),0))</f>
        <v/>
      </c>
      <c r="BM143" s="409" t="str">
        <f>IF(BM114="","",IF(AND(BM114&gt;='Detailed Feasibility'!$C$56,BM114&lt;'Detailed Feasibility'!$D$56),('Detailed Feasibility Inputs'!$F$108/('Detailed Feasibility'!$D$56-'Detailed Feasibility'!$C$56)),0))</f>
        <v/>
      </c>
    </row>
    <row r="144" spans="2:65" s="307" customFormat="1" x14ac:dyDescent="0.45">
      <c r="B144" s="405" t="s">
        <v>286</v>
      </c>
      <c r="C144" s="261"/>
      <c r="D144" s="262"/>
      <c r="E144" s="262"/>
      <c r="F144" s="262"/>
      <c r="G144" s="262"/>
      <c r="H144" s="262"/>
      <c r="I144" s="262"/>
      <c r="J144" s="262"/>
      <c r="K144" s="262"/>
      <c r="L144" s="262"/>
      <c r="M144" s="262"/>
      <c r="N144" s="262"/>
      <c r="O144" s="262"/>
      <c r="P144" s="262"/>
      <c r="Q144" s="262"/>
      <c r="R144" s="262"/>
      <c r="S144" s="262"/>
      <c r="T144" s="262"/>
      <c r="U144" s="262"/>
      <c r="V144" s="262"/>
      <c r="W144" s="262"/>
      <c r="X144" s="262"/>
      <c r="Y144" s="262"/>
      <c r="Z144" s="262"/>
      <c r="AA144" s="262"/>
      <c r="AB144" s="262"/>
      <c r="AC144" s="262"/>
      <c r="AD144" s="262"/>
      <c r="AE144" s="262"/>
      <c r="AF144" s="262"/>
      <c r="AG144" s="262"/>
      <c r="AH144" s="262"/>
      <c r="AI144" s="262"/>
      <c r="AJ144" s="262"/>
      <c r="AK144" s="262"/>
      <c r="AL144" s="262"/>
      <c r="AM144" s="262"/>
      <c r="AN144" s="262"/>
      <c r="AO144" s="262"/>
      <c r="AP144" s="262"/>
      <c r="AQ144" s="262"/>
      <c r="AR144" s="262"/>
      <c r="AS144" s="262"/>
      <c r="AT144" s="262"/>
      <c r="AU144" s="262"/>
      <c r="AV144" s="262"/>
      <c r="AW144" s="262"/>
      <c r="AX144" s="262"/>
      <c r="AY144" s="262"/>
      <c r="AZ144" s="262"/>
      <c r="BA144" s="262"/>
      <c r="BB144" s="262"/>
      <c r="BC144" s="262"/>
      <c r="BD144" s="262"/>
      <c r="BE144" s="262"/>
      <c r="BF144" s="262"/>
      <c r="BG144" s="262"/>
      <c r="BH144" s="262"/>
      <c r="BI144" s="262"/>
      <c r="BJ144" s="262"/>
      <c r="BK144" s="262"/>
      <c r="BL144" s="262"/>
      <c r="BM144" s="98"/>
    </row>
    <row r="145" spans="2:65" s="307" customFormat="1" x14ac:dyDescent="0.45">
      <c r="B145" s="648" t="str">
        <f t="shared" ref="B145:B150" si="33">B91</f>
        <v>1 Bed</v>
      </c>
      <c r="C145" s="407"/>
      <c r="D145" s="345">
        <f>'Detailed Feasibility Inputs'!F53</f>
        <v>1120000</v>
      </c>
      <c r="E145" s="407">
        <f>IF(SUM(F145:BM145)=D145,1,0)</f>
        <v>1</v>
      </c>
      <c r="F145" s="408">
        <f>SUMIFS('Detailed Feasibility'!$N$63:$N$82,$C$63:$C$82,'Detailed Feasibility'!$B$145,'Detailed Feasibility'!$F$63:$F$82,'Detailed Feasibility'!F114)+SUMIFS($O$63:$O$82,$C$63:$C$82,$B$145,$G$63:$G$82,F114)+SUMIFS($P$63:$P$82,$C$63:$C$82,$B$145,$H$63:$H$82,F114)</f>
        <v>0</v>
      </c>
      <c r="G145" s="408">
        <f>IF(G114="","",SUMIFS('Detailed Feasibility'!$N$63:$N$82,$C$63:$C$82,'Detailed Feasibility'!$B$145,'Detailed Feasibility'!$F$63:$F$82,'Detailed Feasibility'!G114)+SUMIFS($O$63:$O$82,$C$63:$C$82,$B$145,$G$63:$G$82,G114)+SUMIFS($P$63:$P$82,$C$63:$C$82,$B$145,$H$63:$H$82,G114))</f>
        <v>0</v>
      </c>
      <c r="H145" s="408">
        <f>IF(H114="","",SUMIFS('Detailed Feasibility'!$N$63:$N$82,$C$63:$C$82,'Detailed Feasibility'!$B$145,'Detailed Feasibility'!$F$63:$F$82,'Detailed Feasibility'!H114)+SUMIFS($O$63:$O$82,$C$63:$C$82,$B$145,$G$63:$G$82,H114)+SUMIFS($P$63:$P$82,$C$63:$C$82,$B$145,$H$63:$H$82,H114))</f>
        <v>0</v>
      </c>
      <c r="I145" s="408">
        <f>IF(I114="","",SUMIFS('Detailed Feasibility'!$N$63:$N$82,$C$63:$C$82,'Detailed Feasibility'!$B$145,'Detailed Feasibility'!$F$63:$F$82,'Detailed Feasibility'!I114)+SUMIFS($O$63:$O$82,$C$63:$C$82,$B$145,$G$63:$G$82,I114)+SUMIFS($P$63:$P$82,$C$63:$C$82,$B$145,$H$63:$H$82,I114))</f>
        <v>0</v>
      </c>
      <c r="J145" s="408">
        <f>IF(J114="","",SUMIFS('Detailed Feasibility'!$N$63:$N$82,$C$63:$C$82,'Detailed Feasibility'!$B$145,'Detailed Feasibility'!$F$63:$F$82,'Detailed Feasibility'!J114)+SUMIFS($O$63:$O$82,$C$63:$C$82,$B$145,$G$63:$G$82,J114)+SUMIFS($P$63:$P$82,$C$63:$C$82,$B$145,$H$63:$H$82,J114))</f>
        <v>0</v>
      </c>
      <c r="K145" s="408">
        <f>IF(K114="","",SUMIFS('Detailed Feasibility'!$N$63:$N$82,$C$63:$C$82,'Detailed Feasibility'!$B$145,'Detailed Feasibility'!$F$63:$F$82,'Detailed Feasibility'!K114)+SUMIFS($O$63:$O$82,$C$63:$C$82,$B$145,$G$63:$G$82,K114)+SUMIFS($P$63:$P$82,$C$63:$C$82,$B$145,$H$63:$H$82,K114))</f>
        <v>0</v>
      </c>
      <c r="L145" s="408">
        <f>IF(L114="","",SUMIFS('Detailed Feasibility'!$N$63:$N$82,$C$63:$C$82,'Detailed Feasibility'!$B$145,'Detailed Feasibility'!$F$63:$F$82,'Detailed Feasibility'!L114)+SUMIFS($O$63:$O$82,$C$63:$C$82,$B$145,$G$63:$G$82,L114)+SUMIFS($P$63:$P$82,$C$63:$C$82,$B$145,$H$63:$H$82,L114))</f>
        <v>0</v>
      </c>
      <c r="M145" s="408">
        <f>IF(M114="","",SUMIFS('Detailed Feasibility'!$N$63:$N$82,$C$63:$C$82,'Detailed Feasibility'!$B$145,'Detailed Feasibility'!$F$63:$F$82,'Detailed Feasibility'!M114)+SUMIFS($O$63:$O$82,$C$63:$C$82,$B$145,$G$63:$G$82,M114)+SUMIFS($P$63:$P$82,$C$63:$C$82,$B$145,$H$63:$H$82,M114))</f>
        <v>0</v>
      </c>
      <c r="N145" s="408">
        <f>IF(N114="","",SUMIFS('Detailed Feasibility'!$N$63:$N$82,$C$63:$C$82,'Detailed Feasibility'!$B$145,'Detailed Feasibility'!$F$63:$F$82,'Detailed Feasibility'!N114)+SUMIFS($O$63:$O$82,$C$63:$C$82,$B$145,$G$63:$G$82,N114)+SUMIFS($P$63:$P$82,$C$63:$C$82,$B$145,$H$63:$H$82,N114))</f>
        <v>0</v>
      </c>
      <c r="O145" s="408">
        <f>IF(O114="","",SUMIFS('Detailed Feasibility'!$N$63:$N$82,$C$63:$C$82,'Detailed Feasibility'!$B$145,'Detailed Feasibility'!$F$63:$F$82,'Detailed Feasibility'!O114)+SUMIFS($O$63:$O$82,$C$63:$C$82,$B$145,$G$63:$G$82,O114)+SUMIFS($P$63:$P$82,$C$63:$C$82,$B$145,$H$63:$H$82,O114))</f>
        <v>0</v>
      </c>
      <c r="P145" s="408">
        <f>IF(P114="","",SUMIFS('Detailed Feasibility'!$N$63:$N$82,$C$63:$C$82,'Detailed Feasibility'!$B$145,'Detailed Feasibility'!$F$63:$F$82,'Detailed Feasibility'!P114)+SUMIFS($O$63:$O$82,$C$63:$C$82,$B$145,$G$63:$G$82,P114)+SUMIFS($P$63:$P$82,$C$63:$C$82,$B$145,$H$63:$H$82,P114))</f>
        <v>0</v>
      </c>
      <c r="Q145" s="408">
        <f>IF(Q114="","",SUMIFS('Detailed Feasibility'!$N$63:$N$82,$C$63:$C$82,'Detailed Feasibility'!$B$145,'Detailed Feasibility'!$F$63:$F$82,'Detailed Feasibility'!Q114)+SUMIFS($O$63:$O$82,$C$63:$C$82,$B$145,$G$63:$G$82,Q114)+SUMIFS($P$63:$P$82,$C$63:$C$82,$B$145,$H$63:$H$82,Q114))</f>
        <v>0</v>
      </c>
      <c r="R145" s="408">
        <f>IF(R114="","",SUMIFS('Detailed Feasibility'!$N$63:$N$82,$C$63:$C$82,'Detailed Feasibility'!$B$145,'Detailed Feasibility'!$F$63:$F$82,'Detailed Feasibility'!R114)+SUMIFS($O$63:$O$82,$C$63:$C$82,$B$145,$G$63:$G$82,R114)+SUMIFS($P$63:$P$82,$C$63:$C$82,$B$145,$H$63:$H$82,R114))</f>
        <v>0</v>
      </c>
      <c r="S145" s="408">
        <f>IF(S114="","",SUMIFS('Detailed Feasibility'!$N$63:$N$82,$C$63:$C$82,'Detailed Feasibility'!$B$145,'Detailed Feasibility'!$F$63:$F$82,'Detailed Feasibility'!S114)+SUMIFS($O$63:$O$82,$C$63:$C$82,$B$145,$G$63:$G$82,S114)+SUMIFS($P$63:$P$82,$C$63:$C$82,$B$145,$H$63:$H$82,S114))</f>
        <v>373333.33333333326</v>
      </c>
      <c r="T145" s="408">
        <f>IF(T114="","",SUMIFS('Detailed Feasibility'!$N$63:$N$82,$C$63:$C$82,'Detailed Feasibility'!$B$145,'Detailed Feasibility'!$F$63:$F$82,'Detailed Feasibility'!T114)+SUMIFS($O$63:$O$82,$C$63:$C$82,$B$145,$G$63:$G$82,T114)+SUMIFS($P$63:$P$82,$C$63:$C$82,$B$145,$H$63:$H$82,T114))</f>
        <v>0</v>
      </c>
      <c r="U145" s="408">
        <f>IF(U114="","",SUMIFS('Detailed Feasibility'!$N$63:$N$82,$C$63:$C$82,'Detailed Feasibility'!$B$145,'Detailed Feasibility'!$F$63:$F$82,'Detailed Feasibility'!U114)+SUMIFS($O$63:$O$82,$C$63:$C$82,$B$145,$G$63:$G$82,U114)+SUMIFS($P$63:$P$82,$C$63:$C$82,$B$145,$H$63:$H$82,U114))</f>
        <v>0</v>
      </c>
      <c r="V145" s="408">
        <f>IF(V114="","",SUMIFS('Detailed Feasibility'!$N$63:$N$82,$C$63:$C$82,'Detailed Feasibility'!$B$145,'Detailed Feasibility'!$F$63:$F$82,'Detailed Feasibility'!V114)+SUMIFS($O$63:$O$82,$C$63:$C$82,$B$145,$G$63:$G$82,V114)+SUMIFS($P$63:$P$82,$C$63:$C$82,$B$145,$H$63:$H$82,V114))</f>
        <v>373333.33333333326</v>
      </c>
      <c r="W145" s="408">
        <f>IF(W114="","",SUMIFS('Detailed Feasibility'!$N$63:$N$82,$C$63:$C$82,'Detailed Feasibility'!$B$145,'Detailed Feasibility'!$F$63:$F$82,'Detailed Feasibility'!W114)+SUMIFS($O$63:$O$82,$C$63:$C$82,$B$145,$G$63:$G$82,W114)+SUMIFS($P$63:$P$82,$C$63:$C$82,$B$145,$H$63:$H$82,W114))</f>
        <v>373333.33333333326</v>
      </c>
      <c r="X145" s="408">
        <f>IF(X114="","",SUMIFS('Detailed Feasibility'!$N$63:$N$82,$C$63:$C$82,'Detailed Feasibility'!$B$145,'Detailed Feasibility'!$F$63:$F$82,'Detailed Feasibility'!X114)+SUMIFS($O$63:$O$82,$C$63:$C$82,$B$145,$G$63:$G$82,X114)+SUMIFS($P$63:$P$82,$C$63:$C$82,$B$145,$H$63:$H$82,X114))</f>
        <v>0</v>
      </c>
      <c r="Y145" s="408">
        <f>IF(Y114="","",SUMIFS('Detailed Feasibility'!$N$63:$N$82,$C$63:$C$82,'Detailed Feasibility'!$B$145,'Detailed Feasibility'!$F$63:$F$82,'Detailed Feasibility'!Y114)+SUMIFS($O$63:$O$82,$C$63:$C$82,$B$145,$G$63:$G$82,Y114)+SUMIFS($P$63:$P$82,$C$63:$C$82,$B$145,$H$63:$H$82,Y114))</f>
        <v>0</v>
      </c>
      <c r="Z145" s="408">
        <f>IF(Z114="","",SUMIFS('Detailed Feasibility'!$N$63:$N$82,$C$63:$C$82,'Detailed Feasibility'!$B$145,'Detailed Feasibility'!$F$63:$F$82,'Detailed Feasibility'!Z114)+SUMIFS($O$63:$O$82,$C$63:$C$82,$B$145,$G$63:$G$82,Z114)+SUMIFS($P$63:$P$82,$C$63:$C$82,$B$145,$H$63:$H$82,Z114))</f>
        <v>0</v>
      </c>
      <c r="AA145" s="408">
        <f>IF(AA114="","",SUMIFS('Detailed Feasibility'!$N$63:$N$82,$C$63:$C$82,'Detailed Feasibility'!$B$145,'Detailed Feasibility'!$F$63:$F$82,'Detailed Feasibility'!AA114)+SUMIFS($O$63:$O$82,$C$63:$C$82,$B$145,$G$63:$G$82,AA114)+SUMIFS($P$63:$P$82,$C$63:$C$82,$B$145,$H$63:$H$82,AA114))</f>
        <v>0</v>
      </c>
      <c r="AB145" s="408">
        <f>IF(AB114="","",SUMIFS('Detailed Feasibility'!$N$63:$N$82,$C$63:$C$82,'Detailed Feasibility'!$B$145,'Detailed Feasibility'!$F$63:$F$82,'Detailed Feasibility'!AB114)+SUMIFS($O$63:$O$82,$C$63:$C$82,$B$145,$G$63:$G$82,AB114)+SUMIFS($P$63:$P$82,$C$63:$C$82,$B$145,$H$63:$H$82,AB114))</f>
        <v>0</v>
      </c>
      <c r="AC145" s="408">
        <f>IF(AC114="","",SUMIFS('Detailed Feasibility'!$N$63:$N$82,$C$63:$C$82,'Detailed Feasibility'!$B$145,'Detailed Feasibility'!$F$63:$F$82,'Detailed Feasibility'!AC114)+SUMIFS($O$63:$O$82,$C$63:$C$82,$B$145,$G$63:$G$82,AC114)+SUMIFS($P$63:$P$82,$C$63:$C$82,$B$145,$H$63:$H$82,AC114))</f>
        <v>0</v>
      </c>
      <c r="AD145" s="408">
        <f>IF(AD114="","",SUMIFS('Detailed Feasibility'!$N$63:$N$82,$C$63:$C$82,'Detailed Feasibility'!$B$145,'Detailed Feasibility'!$F$63:$F$82,'Detailed Feasibility'!AD114)+SUMIFS($O$63:$O$82,$C$63:$C$82,$B$145,$G$63:$G$82,AD114)+SUMIFS($P$63:$P$82,$C$63:$C$82,$B$145,$H$63:$H$82,AD114))</f>
        <v>0</v>
      </c>
      <c r="AE145" s="408">
        <f>IF(AE114="","",SUMIFS('Detailed Feasibility'!$N$63:$N$82,$C$63:$C$82,'Detailed Feasibility'!$B$145,'Detailed Feasibility'!$F$63:$F$82,'Detailed Feasibility'!AE114)+SUMIFS($O$63:$O$82,$C$63:$C$82,$B$145,$G$63:$G$82,AE114)+SUMIFS($P$63:$P$82,$C$63:$C$82,$B$145,$H$63:$H$82,AE114))</f>
        <v>0</v>
      </c>
      <c r="AF145" s="408">
        <f>IF(AF114="","",SUMIFS('Detailed Feasibility'!$N$63:$N$82,$C$63:$C$82,'Detailed Feasibility'!$B$145,'Detailed Feasibility'!$F$63:$F$82,'Detailed Feasibility'!AF114)+SUMIFS($O$63:$O$82,$C$63:$C$82,$B$145,$G$63:$G$82,AF114)+SUMIFS($P$63:$P$82,$C$63:$C$82,$B$145,$H$63:$H$82,AF114))</f>
        <v>0</v>
      </c>
      <c r="AG145" s="408">
        <f>IF(AG114="","",SUMIFS('Detailed Feasibility'!$N$63:$N$82,$C$63:$C$82,'Detailed Feasibility'!$B$145,'Detailed Feasibility'!$F$63:$F$82,'Detailed Feasibility'!AG114)+SUMIFS($O$63:$O$82,$C$63:$C$82,$B$145,$G$63:$G$82,AG114)+SUMIFS($P$63:$P$82,$C$63:$C$82,$B$145,$H$63:$H$82,AG114))</f>
        <v>0</v>
      </c>
      <c r="AH145" s="408">
        <f>IF(AH114="","",SUMIFS('Detailed Feasibility'!$N$63:$N$82,$C$63:$C$82,'Detailed Feasibility'!$B$145,'Detailed Feasibility'!$F$63:$F$82,'Detailed Feasibility'!AH114)+SUMIFS($O$63:$O$82,$C$63:$C$82,$B$145,$G$63:$G$82,AH114)+SUMIFS($P$63:$P$82,$C$63:$C$82,$B$145,$H$63:$H$82,AH114))</f>
        <v>0</v>
      </c>
      <c r="AI145" s="408">
        <f>IF(AI114="","",SUMIFS('Detailed Feasibility'!$N$63:$N$82,$C$63:$C$82,'Detailed Feasibility'!$B$145,'Detailed Feasibility'!$F$63:$F$82,'Detailed Feasibility'!AI114)+SUMIFS($O$63:$O$82,$C$63:$C$82,$B$145,$G$63:$G$82,AI114)+SUMIFS($P$63:$P$82,$C$63:$C$82,$B$145,$H$63:$H$82,AI114))</f>
        <v>0</v>
      </c>
      <c r="AJ145" s="408">
        <f>IF(AJ114="","",SUMIFS('Detailed Feasibility'!$N$63:$N$82,$C$63:$C$82,'Detailed Feasibility'!$B$145,'Detailed Feasibility'!$F$63:$F$82,'Detailed Feasibility'!AJ114)+SUMIFS($O$63:$O$82,$C$63:$C$82,$B$145,$G$63:$G$82,AJ114)+SUMIFS($P$63:$P$82,$C$63:$C$82,$B$145,$H$63:$H$82,AJ114))</f>
        <v>0</v>
      </c>
      <c r="AK145" s="408">
        <f>IF(AK114="","",SUMIFS('Detailed Feasibility'!$N$63:$N$82,$C$63:$C$82,'Detailed Feasibility'!$B$145,'Detailed Feasibility'!$F$63:$F$82,'Detailed Feasibility'!AK114)+SUMIFS($O$63:$O$82,$C$63:$C$82,$B$145,$G$63:$G$82,AK114)+SUMIFS($P$63:$P$82,$C$63:$C$82,$B$145,$H$63:$H$82,AK114))</f>
        <v>0</v>
      </c>
      <c r="AL145" s="408">
        <f>IF(AL114="","",SUMIFS('Detailed Feasibility'!$N$63:$N$82,$C$63:$C$82,'Detailed Feasibility'!$B$145,'Detailed Feasibility'!$F$63:$F$82,'Detailed Feasibility'!AL114)+SUMIFS($O$63:$O$82,$C$63:$C$82,$B$145,$G$63:$G$82,AL114)+SUMIFS($P$63:$P$82,$C$63:$C$82,$B$145,$H$63:$H$82,AL114))</f>
        <v>0</v>
      </c>
      <c r="AM145" s="408">
        <f>IF(AM114="","",SUMIFS('Detailed Feasibility'!$N$63:$N$82,$C$63:$C$82,'Detailed Feasibility'!$B$145,'Detailed Feasibility'!$F$63:$F$82,'Detailed Feasibility'!AM114)+SUMIFS($O$63:$O$82,$C$63:$C$82,$B$145,$G$63:$G$82,AM114)+SUMIFS($P$63:$P$82,$C$63:$C$82,$B$145,$H$63:$H$82,AM114))</f>
        <v>0</v>
      </c>
      <c r="AN145" s="408">
        <f>IF(AN114="","",SUMIFS('Detailed Feasibility'!$N$63:$N$82,$C$63:$C$82,'Detailed Feasibility'!$B$145,'Detailed Feasibility'!$F$63:$F$82,'Detailed Feasibility'!AN114)+SUMIFS($O$63:$O$82,$C$63:$C$82,$B$145,$G$63:$G$82,AN114)+SUMIFS($P$63:$P$82,$C$63:$C$82,$B$145,$H$63:$H$82,AN114))</f>
        <v>0</v>
      </c>
      <c r="AO145" s="408">
        <f>IF(AO114="","",SUMIFS('Detailed Feasibility'!$N$63:$N$82,$C$63:$C$82,'Detailed Feasibility'!$B$145,'Detailed Feasibility'!$F$63:$F$82,'Detailed Feasibility'!AO114)+SUMIFS($O$63:$O$82,$C$63:$C$82,$B$145,$G$63:$G$82,AO114)+SUMIFS($P$63:$P$82,$C$63:$C$82,$B$145,$H$63:$H$82,AO114))</f>
        <v>0</v>
      </c>
      <c r="AP145" s="408">
        <f>IF(AP114="","",SUMIFS('Detailed Feasibility'!$N$63:$N$82,$C$63:$C$82,'Detailed Feasibility'!$B$145,'Detailed Feasibility'!$F$63:$F$82,'Detailed Feasibility'!AP114)+SUMIFS($O$63:$O$82,$C$63:$C$82,$B$145,$G$63:$G$82,AP114)+SUMIFS($P$63:$P$82,$C$63:$C$82,$B$145,$H$63:$H$82,AP114))</f>
        <v>0</v>
      </c>
      <c r="AQ145" s="408" t="str">
        <f>IF(AQ114="","",SUMIFS('Detailed Feasibility'!$N$63:$N$82,$C$63:$C$82,'Detailed Feasibility'!$B$145,'Detailed Feasibility'!$F$63:$F$82,'Detailed Feasibility'!AQ114)+SUMIFS($O$63:$O$82,$C$63:$C$82,$B$145,$G$63:$G$82,AQ114)+SUMIFS($P$63:$P$82,$C$63:$C$82,$B$145,$H$63:$H$82,AQ114))</f>
        <v/>
      </c>
      <c r="AR145" s="408" t="str">
        <f>IF(AR114="","",SUMIFS('Detailed Feasibility'!$N$63:$N$82,$C$63:$C$82,'Detailed Feasibility'!$B$145,'Detailed Feasibility'!$F$63:$F$82,'Detailed Feasibility'!AR114)+SUMIFS($O$63:$O$82,$C$63:$C$82,$B$145,$G$63:$G$82,AR114)+SUMIFS($P$63:$P$82,$C$63:$C$82,$B$145,$H$63:$H$82,AR114))</f>
        <v/>
      </c>
      <c r="AS145" s="408" t="str">
        <f>IF(AS114="","",SUMIFS('Detailed Feasibility'!$N$63:$N$82,$C$63:$C$82,'Detailed Feasibility'!$B$145,'Detailed Feasibility'!$F$63:$F$82,'Detailed Feasibility'!AS114)+SUMIFS($O$63:$O$82,$C$63:$C$82,$B$145,$G$63:$G$82,AS114)+SUMIFS($P$63:$P$82,$C$63:$C$82,$B$145,$H$63:$H$82,AS114))</f>
        <v/>
      </c>
      <c r="AT145" s="408" t="str">
        <f>IF(AT114="","",SUMIFS('Detailed Feasibility'!$N$63:$N$82,$C$63:$C$82,'Detailed Feasibility'!$B$145,'Detailed Feasibility'!$F$63:$F$82,'Detailed Feasibility'!AT114)+SUMIFS($O$63:$O$82,$C$63:$C$82,$B$145,$G$63:$G$82,AT114)+SUMIFS($P$63:$P$82,$C$63:$C$82,$B$145,$H$63:$H$82,AT114))</f>
        <v/>
      </c>
      <c r="AU145" s="408" t="str">
        <f>IF(AU114="","",SUMIFS('Detailed Feasibility'!$N$63:$N$82,$C$63:$C$82,'Detailed Feasibility'!$B$145,'Detailed Feasibility'!$F$63:$F$82,'Detailed Feasibility'!AU114)+SUMIFS($O$63:$O$82,$C$63:$C$82,$B$145,$G$63:$G$82,AU114)+SUMIFS($P$63:$P$82,$C$63:$C$82,$B$145,$H$63:$H$82,AU114))</f>
        <v/>
      </c>
      <c r="AV145" s="408" t="str">
        <f>IF(AV114="","",SUMIFS('Detailed Feasibility'!$N$63:$N$82,$C$63:$C$82,'Detailed Feasibility'!$B$145,'Detailed Feasibility'!$F$63:$F$82,'Detailed Feasibility'!AV114)+SUMIFS($O$63:$O$82,$C$63:$C$82,$B$145,$G$63:$G$82,AV114)+SUMIFS($P$63:$P$82,$C$63:$C$82,$B$145,$H$63:$H$82,AV114))</f>
        <v/>
      </c>
      <c r="AW145" s="408" t="str">
        <f>IF(AW114="","",SUMIFS('Detailed Feasibility'!$N$63:$N$82,$C$63:$C$82,'Detailed Feasibility'!$B$145,'Detailed Feasibility'!$F$63:$F$82,'Detailed Feasibility'!AW114)+SUMIFS($O$63:$O$82,$C$63:$C$82,$B$145,$G$63:$G$82,AW114)+SUMIFS($P$63:$P$82,$C$63:$C$82,$B$145,$H$63:$H$82,AW114))</f>
        <v/>
      </c>
      <c r="AX145" s="408" t="str">
        <f>IF(AX114="","",SUMIFS('Detailed Feasibility'!$N$63:$N$82,$C$63:$C$82,'Detailed Feasibility'!$B$145,'Detailed Feasibility'!$F$63:$F$82,'Detailed Feasibility'!AX114)+SUMIFS($O$63:$O$82,$C$63:$C$82,$B$145,$G$63:$G$82,AX114)+SUMIFS($P$63:$P$82,$C$63:$C$82,$B$145,$H$63:$H$82,AX114))</f>
        <v/>
      </c>
      <c r="AY145" s="408" t="str">
        <f>IF(AY114="","",SUMIFS('Detailed Feasibility'!$N$63:$N$82,$C$63:$C$82,'Detailed Feasibility'!$B$145,'Detailed Feasibility'!$F$63:$F$82,'Detailed Feasibility'!AY114)+SUMIFS($O$63:$O$82,$C$63:$C$82,$B$145,$G$63:$G$82,AY114)+SUMIFS($P$63:$P$82,$C$63:$C$82,$B$145,$H$63:$H$82,AY114))</f>
        <v/>
      </c>
      <c r="AZ145" s="408" t="str">
        <f>IF(AZ114="","",SUMIFS('Detailed Feasibility'!$N$63:$N$82,$C$63:$C$82,'Detailed Feasibility'!$B$145,'Detailed Feasibility'!$F$63:$F$82,'Detailed Feasibility'!AZ114)+SUMIFS($O$63:$O$82,$C$63:$C$82,$B$145,$G$63:$G$82,AZ114)+SUMIFS($P$63:$P$82,$C$63:$C$82,$B$145,$H$63:$H$82,AZ114))</f>
        <v/>
      </c>
      <c r="BA145" s="408" t="str">
        <f>IF(BA114="","",SUMIFS('Detailed Feasibility'!$N$63:$N$82,$C$63:$C$82,'Detailed Feasibility'!$B$145,'Detailed Feasibility'!$F$63:$F$82,'Detailed Feasibility'!BA114)+SUMIFS($O$63:$O$82,$C$63:$C$82,$B$145,$G$63:$G$82,BA114)+SUMIFS($P$63:$P$82,$C$63:$C$82,$B$145,$H$63:$H$82,BA114))</f>
        <v/>
      </c>
      <c r="BB145" s="408" t="str">
        <f>IF(BB114="","",SUMIFS('Detailed Feasibility'!$N$63:$N$82,$C$63:$C$82,'Detailed Feasibility'!$B$145,'Detailed Feasibility'!$F$63:$F$82,'Detailed Feasibility'!BB114)+SUMIFS($O$63:$O$82,$C$63:$C$82,$B$145,$G$63:$G$82,BB114)+SUMIFS($P$63:$P$82,$C$63:$C$82,$B$145,$H$63:$H$82,BB114))</f>
        <v/>
      </c>
      <c r="BC145" s="408" t="str">
        <f>IF(BC114="","",SUMIFS('Detailed Feasibility'!$N$63:$N$82,$C$63:$C$82,'Detailed Feasibility'!$B$145,'Detailed Feasibility'!$F$63:$F$82,'Detailed Feasibility'!BC114)+SUMIFS($O$63:$O$82,$C$63:$C$82,$B$145,$G$63:$G$82,BC114)+SUMIFS($P$63:$P$82,$C$63:$C$82,$B$145,$H$63:$H$82,BC114))</f>
        <v/>
      </c>
      <c r="BD145" s="408" t="str">
        <f>IF(BD114="","",SUMIFS('Detailed Feasibility'!$N$63:$N$82,$C$63:$C$82,'Detailed Feasibility'!$B$145,'Detailed Feasibility'!$F$63:$F$82,'Detailed Feasibility'!BD114)+SUMIFS($O$63:$O$82,$C$63:$C$82,$B$145,$G$63:$G$82,BD114)+SUMIFS($P$63:$P$82,$C$63:$C$82,$B$145,$H$63:$H$82,BD114))</f>
        <v/>
      </c>
      <c r="BE145" s="408" t="str">
        <f>IF(BE114="","",SUMIFS('Detailed Feasibility'!$N$63:$N$82,$C$63:$C$82,'Detailed Feasibility'!$B$145,'Detailed Feasibility'!$F$63:$F$82,'Detailed Feasibility'!BE114)+SUMIFS($O$63:$O$82,$C$63:$C$82,$B$145,$G$63:$G$82,BE114)+SUMIFS($P$63:$P$82,$C$63:$C$82,$B$145,$H$63:$H$82,BE114))</f>
        <v/>
      </c>
      <c r="BF145" s="408" t="str">
        <f>IF(BF114="","",SUMIFS('Detailed Feasibility'!$N$63:$N$82,$C$63:$C$82,'Detailed Feasibility'!$B$145,'Detailed Feasibility'!$F$63:$F$82,'Detailed Feasibility'!BF114)+SUMIFS($O$63:$O$82,$C$63:$C$82,$B$145,$G$63:$G$82,BF114)+SUMIFS($P$63:$P$82,$C$63:$C$82,$B$145,$H$63:$H$82,BF114))</f>
        <v/>
      </c>
      <c r="BG145" s="408" t="str">
        <f>IF(BG114="","",SUMIFS('Detailed Feasibility'!$N$63:$N$82,$C$63:$C$82,'Detailed Feasibility'!$B$145,'Detailed Feasibility'!$F$63:$F$82,'Detailed Feasibility'!BG114)+SUMIFS($O$63:$O$82,$C$63:$C$82,$B$145,$G$63:$G$82,BG114)+SUMIFS($P$63:$P$82,$C$63:$C$82,$B$145,$H$63:$H$82,BG114))</f>
        <v/>
      </c>
      <c r="BH145" s="408" t="str">
        <f>IF(BH114="","",SUMIFS('Detailed Feasibility'!$N$63:$N$82,$C$63:$C$82,'Detailed Feasibility'!$B$145,'Detailed Feasibility'!$F$63:$F$82,'Detailed Feasibility'!BH114)+SUMIFS($O$63:$O$82,$C$63:$C$82,$B$145,$G$63:$G$82,BH114)+SUMIFS($P$63:$P$82,$C$63:$C$82,$B$145,$H$63:$H$82,BH114))</f>
        <v/>
      </c>
      <c r="BI145" s="408" t="str">
        <f>IF(BI114="","",SUMIFS('Detailed Feasibility'!$N$63:$N$82,$C$63:$C$82,'Detailed Feasibility'!$B$145,'Detailed Feasibility'!$F$63:$F$82,'Detailed Feasibility'!BI114)+SUMIFS($O$63:$O$82,$C$63:$C$82,$B$145,$G$63:$G$82,BI114)+SUMIFS($P$63:$P$82,$C$63:$C$82,$B$145,$H$63:$H$82,BI114))</f>
        <v/>
      </c>
      <c r="BJ145" s="408" t="str">
        <f>IF(BJ114="","",SUMIFS('Detailed Feasibility'!$N$63:$N$82,$C$63:$C$82,'Detailed Feasibility'!$B$145,'Detailed Feasibility'!$F$63:$F$82,'Detailed Feasibility'!BJ114)+SUMIFS($O$63:$O$82,$C$63:$C$82,$B$145,$G$63:$G$82,BJ114)+SUMIFS($P$63:$P$82,$C$63:$C$82,$B$145,$H$63:$H$82,BJ114))</f>
        <v/>
      </c>
      <c r="BK145" s="408" t="str">
        <f>IF(BK114="","",SUMIFS('Detailed Feasibility'!$N$63:$N$82,$C$63:$C$82,'Detailed Feasibility'!$B$145,'Detailed Feasibility'!$F$63:$F$82,'Detailed Feasibility'!BK114)+SUMIFS($O$63:$O$82,$C$63:$C$82,$B$145,$G$63:$G$82,BK114)+SUMIFS($P$63:$P$82,$C$63:$C$82,$B$145,$H$63:$H$82,BK114))</f>
        <v/>
      </c>
      <c r="BL145" s="408" t="str">
        <f>IF(BL114="","",SUMIFS('Detailed Feasibility'!$N$63:$N$82,$C$63:$C$82,'Detailed Feasibility'!$B$145,'Detailed Feasibility'!$F$63:$F$82,'Detailed Feasibility'!BL114)+SUMIFS($O$63:$O$82,$C$63:$C$82,$B$145,$G$63:$G$82,BL114)+SUMIFS($P$63:$P$82,$C$63:$C$82,$B$145,$H$63:$H$82,BL114))</f>
        <v/>
      </c>
      <c r="BM145" s="409" t="str">
        <f>IF(BM114="","",SUMIFS('Detailed Feasibility'!$N$63:$N$82,$C$63:$C$82,'Detailed Feasibility'!$B$145,'Detailed Feasibility'!$F$63:$F$82,'Detailed Feasibility'!BM114)+SUMIFS($O$63:$O$82,$C$63:$C$82,$B$145,$G$63:$G$82,BM114)+SUMIFS($P$63:$P$82,$C$63:$C$82,$B$145,$H$63:$H$82,BM114))</f>
        <v/>
      </c>
    </row>
    <row r="146" spans="2:65" s="307" customFormat="1" x14ac:dyDescent="0.45">
      <c r="B146" s="648" t="str">
        <f t="shared" si="33"/>
        <v>2 Bed</v>
      </c>
      <c r="C146" s="407"/>
      <c r="D146" s="345">
        <f>'Detailed Feasibility Inputs'!F54</f>
        <v>910000</v>
      </c>
      <c r="E146" s="407">
        <f>IF(SUM(F146:BM146)=D146,1,0)</f>
        <v>1</v>
      </c>
      <c r="F146" s="408">
        <f>SUMIFS('Detailed Feasibility'!$N$63:$N$84,$C$63:$C$84,'Detailed Feasibility'!$B$146,'Detailed Feasibility'!$F$63:$F$84,'Detailed Feasibility'!F114)+SUMIFS($O$63:$O$84,$C$63:$C$84,$B$146,$G$63:$G$84,F114)+SUMIFS($P$63:$P$84,$C$63:$C$84,$B$146,$H$63:$H$84,F114)</f>
        <v>0</v>
      </c>
      <c r="G146" s="408">
        <f>IF(G114="","",SUMIFS('Detailed Feasibility'!$N$63:$N$82,$C$63:$C$82,'Detailed Feasibility'!$B$146,'Detailed Feasibility'!$F$63:$F$82,'Detailed Feasibility'!G114)+SUMIFS($O$63:$O$82,$C$63:$C$82,$B$146,$G$63:$G$82,G114)+SUMIFS($P$63:$P$82,$C$63:$C$82,$B$146,$H$63:$H$82,G114))</f>
        <v>0</v>
      </c>
      <c r="H146" s="408">
        <f>IF(H114="","",SUMIFS('Detailed Feasibility'!$N$63:$N$82,$C$63:$C$82,'Detailed Feasibility'!$B$146,'Detailed Feasibility'!$F$63:$F$82,'Detailed Feasibility'!H114)+SUMIFS($O$63:$O$82,$C$63:$C$82,$B$146,$G$63:$G$82,H114)+SUMIFS($P$63:$P$82,$C$63:$C$82,$B$146,$H$63:$H$82,H114))</f>
        <v>0</v>
      </c>
      <c r="I146" s="408">
        <f>IF(I114="","",SUMIFS('Detailed Feasibility'!$N$63:$N$82,$C$63:$C$82,'Detailed Feasibility'!$B$146,'Detailed Feasibility'!$F$63:$F$82,'Detailed Feasibility'!I114)+SUMIFS($O$63:$O$82,$C$63:$C$82,$B$146,$G$63:$G$82,I114)+SUMIFS($P$63:$P$82,$C$63:$C$82,$B$146,$H$63:$H$82,I114))</f>
        <v>0</v>
      </c>
      <c r="J146" s="408">
        <f>IF(J114="","",SUMIFS('Detailed Feasibility'!$N$63:$N$82,$C$63:$C$82,'Detailed Feasibility'!$B$146,'Detailed Feasibility'!$F$63:$F$82,'Detailed Feasibility'!J114)+SUMIFS($O$63:$O$82,$C$63:$C$82,$B$146,$G$63:$G$82,J114)+SUMIFS($P$63:$P$82,$C$63:$C$82,$B$146,$H$63:$H$82,J114))</f>
        <v>0</v>
      </c>
      <c r="K146" s="408">
        <f>IF(K114="","",SUMIFS('Detailed Feasibility'!$N$63:$N$82,$C$63:$C$82,'Detailed Feasibility'!$B$146,'Detailed Feasibility'!$F$63:$F$82,'Detailed Feasibility'!K114)+SUMIFS($O$63:$O$82,$C$63:$C$82,$B$146,$G$63:$G$82,K114)+SUMIFS($P$63:$P$82,$C$63:$C$82,$B$146,$H$63:$H$82,K114))</f>
        <v>0</v>
      </c>
      <c r="L146" s="408">
        <f>IF(L114="","",SUMIFS('Detailed Feasibility'!$N$63:$N$82,$C$63:$C$82,'Detailed Feasibility'!$B$146,'Detailed Feasibility'!$F$63:$F$82,'Detailed Feasibility'!L114)+SUMIFS($O$63:$O$82,$C$63:$C$82,$B$146,$G$63:$G$82,L114)+SUMIFS($P$63:$P$82,$C$63:$C$82,$B$146,$H$63:$H$82,L114))</f>
        <v>0</v>
      </c>
      <c r="M146" s="408">
        <f>IF(M114="","",SUMIFS('Detailed Feasibility'!$N$63:$N$82,$C$63:$C$82,'Detailed Feasibility'!$B$146,'Detailed Feasibility'!$F$63:$F$82,'Detailed Feasibility'!M114)+SUMIFS($O$63:$O$82,$C$63:$C$82,$B$146,$G$63:$G$82,M114)+SUMIFS($P$63:$P$82,$C$63:$C$82,$B$146,$H$63:$H$82,M114))</f>
        <v>0</v>
      </c>
      <c r="N146" s="408">
        <f>IF(N114="","",SUMIFS('Detailed Feasibility'!$N$63:$N$82,$C$63:$C$82,'Detailed Feasibility'!$B$146,'Detailed Feasibility'!$F$63:$F$82,'Detailed Feasibility'!N114)+SUMIFS($O$63:$O$82,$C$63:$C$82,$B$146,$G$63:$G$82,N114)+SUMIFS($P$63:$P$82,$C$63:$C$82,$B$146,$H$63:$H$82,N114))</f>
        <v>0</v>
      </c>
      <c r="O146" s="408">
        <f>IF(O114="","",SUMIFS('Detailed Feasibility'!$N$63:$N$82,$C$63:$C$82,'Detailed Feasibility'!$B$146,'Detailed Feasibility'!$F$63:$F$82,'Detailed Feasibility'!O114)+SUMIFS($O$63:$O$82,$C$63:$C$82,$B$146,$G$63:$G$82,O114)+SUMIFS($P$63:$P$82,$C$63:$C$82,$B$146,$H$63:$H$82,O114))</f>
        <v>0</v>
      </c>
      <c r="P146" s="408">
        <f>IF(P114="","",SUMIFS('Detailed Feasibility'!$N$63:$N$82,$C$63:$C$82,'Detailed Feasibility'!$B$146,'Detailed Feasibility'!$F$63:$F$82,'Detailed Feasibility'!P114)+SUMIFS($O$63:$O$82,$C$63:$C$82,$B$146,$G$63:$G$82,P114)+SUMIFS($P$63:$P$82,$C$63:$C$82,$B$146,$H$63:$H$82,P114))</f>
        <v>0</v>
      </c>
      <c r="Q146" s="408">
        <f>IF(Q114="","",SUMIFS('Detailed Feasibility'!$N$63:$N$82,$C$63:$C$82,'Detailed Feasibility'!$B$146,'Detailed Feasibility'!$F$63:$F$82,'Detailed Feasibility'!Q114)+SUMIFS($O$63:$O$82,$C$63:$C$82,$B$146,$G$63:$G$82,Q114)+SUMIFS($P$63:$P$82,$C$63:$C$82,$B$146,$H$63:$H$82,Q114))</f>
        <v>0</v>
      </c>
      <c r="R146" s="408">
        <f>IF(R114="","",SUMIFS('Detailed Feasibility'!$N$63:$N$82,$C$63:$C$82,'Detailed Feasibility'!$B$146,'Detailed Feasibility'!$F$63:$F$82,'Detailed Feasibility'!R114)+SUMIFS($O$63:$O$82,$C$63:$C$82,$B$146,$G$63:$G$82,R114)+SUMIFS($P$63:$P$82,$C$63:$C$82,$B$146,$H$63:$H$82,R114))</f>
        <v>0</v>
      </c>
      <c r="S146" s="408">
        <f>IF(S114="","",SUMIFS('Detailed Feasibility'!$N$63:$N$82,$C$63:$C$82,'Detailed Feasibility'!$B$146,'Detailed Feasibility'!$F$63:$F$82,'Detailed Feasibility'!S114)+SUMIFS($O$63:$O$82,$C$63:$C$82,$B$146,$G$63:$G$82,S114)+SUMIFS($P$63:$P$82,$C$63:$C$82,$B$146,$H$63:$H$82,S114))</f>
        <v>0</v>
      </c>
      <c r="T146" s="408">
        <f>IF(T114="","",SUMIFS('Detailed Feasibility'!$N$63:$N$82,$C$63:$C$82,'Detailed Feasibility'!$B$146,'Detailed Feasibility'!$F$63:$F$82,'Detailed Feasibility'!T114)+SUMIFS($O$63:$O$82,$C$63:$C$82,$B$146,$G$63:$G$82,T114)+SUMIFS($P$63:$P$82,$C$63:$C$82,$B$146,$H$63:$H$82,T114))</f>
        <v>0</v>
      </c>
      <c r="U146" s="408">
        <f>IF(U114="","",SUMIFS('Detailed Feasibility'!$N$63:$N$82,$C$63:$C$82,'Detailed Feasibility'!$B$146,'Detailed Feasibility'!$F$63:$F$82,'Detailed Feasibility'!U114)+SUMIFS($O$63:$O$82,$C$63:$C$82,$B$146,$G$63:$G$82,U114)+SUMIFS($P$63:$P$82,$C$63:$C$82,$B$146,$H$63:$H$82,U114))</f>
        <v>0</v>
      </c>
      <c r="V146" s="408">
        <f>IF(V114="","",SUMIFS('Detailed Feasibility'!$N$63:$N$82,$C$63:$C$82,'Detailed Feasibility'!$B$146,'Detailed Feasibility'!$F$63:$F$82,'Detailed Feasibility'!V114)+SUMIFS($O$63:$O$82,$C$63:$C$82,$B$146,$G$63:$G$82,V114)+SUMIFS($P$63:$P$82,$C$63:$C$82,$B$146,$H$63:$H$82,V114))</f>
        <v>0</v>
      </c>
      <c r="W146" s="408">
        <f>IF(W114="","",SUMIFS('Detailed Feasibility'!$N$63:$N$82,$C$63:$C$82,'Detailed Feasibility'!$B$146,'Detailed Feasibility'!$F$63:$F$82,'Detailed Feasibility'!W114)+SUMIFS($O$63:$O$82,$C$63:$C$82,$B$146,$G$63:$G$82,W114)+SUMIFS($P$63:$P$82,$C$63:$C$82,$B$146,$H$63:$H$82,W114))</f>
        <v>0</v>
      </c>
      <c r="X146" s="408">
        <f>IF(X114="","",SUMIFS('Detailed Feasibility'!$N$63:$N$82,$C$63:$C$82,'Detailed Feasibility'!$B$146,'Detailed Feasibility'!$F$63:$F$82,'Detailed Feasibility'!X114)+SUMIFS($O$63:$O$82,$C$63:$C$82,$B$146,$G$63:$G$82,X114)+SUMIFS($P$63:$P$82,$C$63:$C$82,$B$146,$H$63:$H$82,X114))</f>
        <v>0</v>
      </c>
      <c r="Y146" s="408">
        <f>IF(Y114="","",SUMIFS('Detailed Feasibility'!$N$63:$N$82,$C$63:$C$82,'Detailed Feasibility'!$B$146,'Detailed Feasibility'!$F$63:$F$82,'Detailed Feasibility'!Y114)+SUMIFS($O$63:$O$82,$C$63:$C$82,$B$146,$G$63:$G$82,Y114)+SUMIFS($P$63:$P$82,$C$63:$C$82,$B$146,$H$63:$H$82,Y114))</f>
        <v>0</v>
      </c>
      <c r="Z146" s="408">
        <f>IF(Z114="","",SUMIFS('Detailed Feasibility'!$N$63:$N$82,$C$63:$C$82,'Detailed Feasibility'!$B$146,'Detailed Feasibility'!$F$63:$F$82,'Detailed Feasibility'!Z114)+SUMIFS($O$63:$O$82,$C$63:$C$82,$B$146,$G$63:$G$82,Z114)+SUMIFS($P$63:$P$82,$C$63:$C$82,$B$146,$H$63:$H$82,Z114))</f>
        <v>303333.33333333331</v>
      </c>
      <c r="AA146" s="408">
        <f>IF(AA114="","",SUMIFS('Detailed Feasibility'!$N$63:$N$82,$C$63:$C$82,'Detailed Feasibility'!$B$146,'Detailed Feasibility'!$F$63:$F$82,'Detailed Feasibility'!AA114)+SUMIFS($O$63:$O$82,$C$63:$C$82,$B$146,$G$63:$G$82,AA114)+SUMIFS($P$63:$P$82,$C$63:$C$82,$B$146,$H$63:$H$82,AA114))</f>
        <v>0</v>
      </c>
      <c r="AB146" s="408">
        <f>IF(AB114="","",SUMIFS('Detailed Feasibility'!$N$63:$N$82,$C$63:$C$82,'Detailed Feasibility'!$B$146,'Detailed Feasibility'!$F$63:$F$82,'Detailed Feasibility'!AB114)+SUMIFS($O$63:$O$82,$C$63:$C$82,$B$146,$G$63:$G$82,AB114)+SUMIFS($P$63:$P$82,$C$63:$C$82,$B$146,$H$63:$H$82,AB114))</f>
        <v>0</v>
      </c>
      <c r="AC146" s="408">
        <f>IF(AC114="","",SUMIFS('Detailed Feasibility'!$N$63:$N$82,$C$63:$C$82,'Detailed Feasibility'!$B$146,'Detailed Feasibility'!$F$63:$F$82,'Detailed Feasibility'!AC114)+SUMIFS($O$63:$O$82,$C$63:$C$82,$B$146,$G$63:$G$82,AC114)+SUMIFS($P$63:$P$82,$C$63:$C$82,$B$146,$H$63:$H$82,AC114))</f>
        <v>303333.33333333331</v>
      </c>
      <c r="AD146" s="408">
        <f>IF(AD114="","",SUMIFS('Detailed Feasibility'!$N$63:$N$82,$C$63:$C$82,'Detailed Feasibility'!$B$146,'Detailed Feasibility'!$F$63:$F$82,'Detailed Feasibility'!AD114)+SUMIFS($O$63:$O$82,$C$63:$C$82,$B$146,$G$63:$G$82,AD114)+SUMIFS($P$63:$P$82,$C$63:$C$82,$B$146,$H$63:$H$82,AD114))</f>
        <v>303333.33333333331</v>
      </c>
      <c r="AE146" s="408">
        <f>IF(AE114="","",SUMIFS('Detailed Feasibility'!$N$63:$N$82,$C$63:$C$82,'Detailed Feasibility'!$B$146,'Detailed Feasibility'!$F$63:$F$82,'Detailed Feasibility'!AE114)+SUMIFS($O$63:$O$82,$C$63:$C$82,$B$146,$G$63:$G$82,AE114)+SUMIFS($P$63:$P$82,$C$63:$C$82,$B$146,$H$63:$H$82,AE114))</f>
        <v>0</v>
      </c>
      <c r="AF146" s="408">
        <f>IF(AF114="","",SUMIFS('Detailed Feasibility'!$N$63:$N$82,$C$63:$C$82,'Detailed Feasibility'!$B$146,'Detailed Feasibility'!$F$63:$F$82,'Detailed Feasibility'!AF114)+SUMIFS($O$63:$O$82,$C$63:$C$82,$B$146,$G$63:$G$82,AF114)+SUMIFS($P$63:$P$82,$C$63:$C$82,$B$146,$H$63:$H$82,AF114))</f>
        <v>0</v>
      </c>
      <c r="AG146" s="408">
        <f>IF(AG114="","",SUMIFS('Detailed Feasibility'!$N$63:$N$82,$C$63:$C$82,'Detailed Feasibility'!$B$146,'Detailed Feasibility'!$F$63:$F$82,'Detailed Feasibility'!AG114)+SUMIFS($O$63:$O$82,$C$63:$C$82,$B$146,$G$63:$G$82,AG114)+SUMIFS($P$63:$P$82,$C$63:$C$82,$B$146,$H$63:$H$82,AG114))</f>
        <v>0</v>
      </c>
      <c r="AH146" s="408">
        <f>IF(AH114="","",SUMIFS('Detailed Feasibility'!$N$63:$N$82,$C$63:$C$82,'Detailed Feasibility'!$B$146,'Detailed Feasibility'!$F$63:$F$82,'Detailed Feasibility'!AH114)+SUMIFS($O$63:$O$82,$C$63:$C$82,$B$146,$G$63:$G$82,AH114)+SUMIFS($P$63:$P$82,$C$63:$C$82,$B$146,$H$63:$H$82,AH114))</f>
        <v>0</v>
      </c>
      <c r="AI146" s="408">
        <f>IF(AI114="","",SUMIFS('Detailed Feasibility'!$N$63:$N$82,$C$63:$C$82,'Detailed Feasibility'!$B$146,'Detailed Feasibility'!$F$63:$F$82,'Detailed Feasibility'!AI114)+SUMIFS($O$63:$O$82,$C$63:$C$82,$B$146,$G$63:$G$82,AI114)+SUMIFS($P$63:$P$82,$C$63:$C$82,$B$146,$H$63:$H$82,AI114))</f>
        <v>0</v>
      </c>
      <c r="AJ146" s="408">
        <f>IF(AJ114="","",SUMIFS('Detailed Feasibility'!$N$63:$N$82,$C$63:$C$82,'Detailed Feasibility'!$B$146,'Detailed Feasibility'!$F$63:$F$82,'Detailed Feasibility'!AJ114)+SUMIFS($O$63:$O$82,$C$63:$C$82,$B$146,$G$63:$G$82,AJ114)+SUMIFS($P$63:$P$82,$C$63:$C$82,$B$146,$H$63:$H$82,AJ114))</f>
        <v>0</v>
      </c>
      <c r="AK146" s="408">
        <f>IF(AK114="","",SUMIFS('Detailed Feasibility'!$N$63:$N$82,$C$63:$C$82,'Detailed Feasibility'!$B$146,'Detailed Feasibility'!$F$63:$F$82,'Detailed Feasibility'!AK114)+SUMIFS($O$63:$O$82,$C$63:$C$82,$B$146,$G$63:$G$82,AK114)+SUMIFS($P$63:$P$82,$C$63:$C$82,$B$146,$H$63:$H$82,AK114))</f>
        <v>0</v>
      </c>
      <c r="AL146" s="408">
        <f>IF(AL114="","",SUMIFS('Detailed Feasibility'!$N$63:$N$82,$C$63:$C$82,'Detailed Feasibility'!$B$146,'Detailed Feasibility'!$F$63:$F$82,'Detailed Feasibility'!AL114)+SUMIFS($O$63:$O$82,$C$63:$C$82,$B$146,$G$63:$G$82,AL114)+SUMIFS($P$63:$P$82,$C$63:$C$82,$B$146,$H$63:$H$82,AL114))</f>
        <v>0</v>
      </c>
      <c r="AM146" s="408">
        <f>IF(AM114="","",SUMIFS('Detailed Feasibility'!$N$63:$N$82,$C$63:$C$82,'Detailed Feasibility'!$B$146,'Detailed Feasibility'!$F$63:$F$82,'Detailed Feasibility'!AM114)+SUMIFS($O$63:$O$82,$C$63:$C$82,$B$146,$G$63:$G$82,AM114)+SUMIFS($P$63:$P$82,$C$63:$C$82,$B$146,$H$63:$H$82,AM114))</f>
        <v>0</v>
      </c>
      <c r="AN146" s="408">
        <f>IF(AN114="","",SUMIFS('Detailed Feasibility'!$N$63:$N$82,$C$63:$C$82,'Detailed Feasibility'!$B$146,'Detailed Feasibility'!$F$63:$F$82,'Detailed Feasibility'!AN114)+SUMIFS($O$63:$O$82,$C$63:$C$82,$B$146,$G$63:$G$82,AN114)+SUMIFS($P$63:$P$82,$C$63:$C$82,$B$146,$H$63:$H$82,AN114))</f>
        <v>0</v>
      </c>
      <c r="AO146" s="408">
        <f>IF(AO114="","",SUMIFS('Detailed Feasibility'!$N$63:$N$82,$C$63:$C$82,'Detailed Feasibility'!$B$146,'Detailed Feasibility'!$F$63:$F$82,'Detailed Feasibility'!AO114)+SUMIFS($O$63:$O$82,$C$63:$C$82,$B$146,$G$63:$G$82,AO114)+SUMIFS($P$63:$P$82,$C$63:$C$82,$B$146,$H$63:$H$82,AO114))</f>
        <v>0</v>
      </c>
      <c r="AP146" s="408">
        <f>IF(AP114="","",SUMIFS('Detailed Feasibility'!$N$63:$N$82,$C$63:$C$82,'Detailed Feasibility'!$B$146,'Detailed Feasibility'!$F$63:$F$82,'Detailed Feasibility'!AP114)+SUMIFS($O$63:$O$82,$C$63:$C$82,$B$146,$G$63:$G$82,AP114)+SUMIFS($P$63:$P$82,$C$63:$C$82,$B$146,$H$63:$H$82,AP114))</f>
        <v>0</v>
      </c>
      <c r="AQ146" s="408" t="str">
        <f>IF(AQ114="","",SUMIFS('Detailed Feasibility'!$N$63:$N$82,$C$63:$C$82,'Detailed Feasibility'!$B$146,'Detailed Feasibility'!$F$63:$F$82,'Detailed Feasibility'!AQ114)+SUMIFS($O$63:$O$82,$C$63:$C$82,$B$146,$G$63:$G$82,AQ114)+SUMIFS($P$63:$P$82,$C$63:$C$82,$B$146,$H$63:$H$82,AQ114))</f>
        <v/>
      </c>
      <c r="AR146" s="408" t="str">
        <f>IF(AR114="","",SUMIFS('Detailed Feasibility'!$N$63:$N$82,$C$63:$C$82,'Detailed Feasibility'!$B$146,'Detailed Feasibility'!$F$63:$F$82,'Detailed Feasibility'!AR114)+SUMIFS($O$63:$O$82,$C$63:$C$82,$B$146,$G$63:$G$82,AR114)+SUMIFS($P$63:$P$82,$C$63:$C$82,$B$146,$H$63:$H$82,AR114))</f>
        <v/>
      </c>
      <c r="AS146" s="408" t="str">
        <f>IF(AS114="","",SUMIFS('Detailed Feasibility'!$N$63:$N$82,$C$63:$C$82,'Detailed Feasibility'!$B$146,'Detailed Feasibility'!$F$63:$F$82,'Detailed Feasibility'!AS114)+SUMIFS($O$63:$O$82,$C$63:$C$82,$B$146,$G$63:$G$82,AS114)+SUMIFS($P$63:$P$82,$C$63:$C$82,$B$146,$H$63:$H$82,AS114))</f>
        <v/>
      </c>
      <c r="AT146" s="408" t="str">
        <f>IF(AT114="","",SUMIFS('Detailed Feasibility'!$N$63:$N$82,$C$63:$C$82,'Detailed Feasibility'!$B$146,'Detailed Feasibility'!$F$63:$F$82,'Detailed Feasibility'!AT114)+SUMIFS($O$63:$O$82,$C$63:$C$82,$B$146,$G$63:$G$82,AT114)+SUMIFS($P$63:$P$82,$C$63:$C$82,$B$146,$H$63:$H$82,AT114))</f>
        <v/>
      </c>
      <c r="AU146" s="408" t="str">
        <f>IF(AU114="","",SUMIFS('Detailed Feasibility'!$N$63:$N$82,$C$63:$C$82,'Detailed Feasibility'!$B$146,'Detailed Feasibility'!$F$63:$F$82,'Detailed Feasibility'!AU114)+SUMIFS($O$63:$O$82,$C$63:$C$82,$B$146,$G$63:$G$82,AU114)+SUMIFS($P$63:$P$82,$C$63:$C$82,$B$146,$H$63:$H$82,AU114))</f>
        <v/>
      </c>
      <c r="AV146" s="408" t="str">
        <f>IF(AV114="","",SUMIFS('Detailed Feasibility'!$N$63:$N$82,$C$63:$C$82,'Detailed Feasibility'!$B$146,'Detailed Feasibility'!$F$63:$F$82,'Detailed Feasibility'!AV114)+SUMIFS($O$63:$O$82,$C$63:$C$82,$B$146,$G$63:$G$82,AV114)+SUMIFS($P$63:$P$82,$C$63:$C$82,$B$146,$H$63:$H$82,AV114))</f>
        <v/>
      </c>
      <c r="AW146" s="408" t="str">
        <f>IF(AW114="","",SUMIFS('Detailed Feasibility'!$N$63:$N$82,$C$63:$C$82,'Detailed Feasibility'!$B$146,'Detailed Feasibility'!$F$63:$F$82,'Detailed Feasibility'!AW114)+SUMIFS($O$63:$O$82,$C$63:$C$82,$B$146,$G$63:$G$82,AW114)+SUMIFS($P$63:$P$82,$C$63:$C$82,$B$146,$H$63:$H$82,AW114))</f>
        <v/>
      </c>
      <c r="AX146" s="408" t="str">
        <f>IF(AX114="","",SUMIFS('Detailed Feasibility'!$N$63:$N$82,$C$63:$C$82,'Detailed Feasibility'!$B$146,'Detailed Feasibility'!$F$63:$F$82,'Detailed Feasibility'!AX114)+SUMIFS($O$63:$O$82,$C$63:$C$82,$B$146,$G$63:$G$82,AX114)+SUMIFS($P$63:$P$82,$C$63:$C$82,$B$146,$H$63:$H$82,AX114))</f>
        <v/>
      </c>
      <c r="AY146" s="408" t="str">
        <f>IF(AY114="","",SUMIFS('Detailed Feasibility'!$N$63:$N$82,$C$63:$C$82,'Detailed Feasibility'!$B$146,'Detailed Feasibility'!$F$63:$F$82,'Detailed Feasibility'!AY114)+SUMIFS($O$63:$O$82,$C$63:$C$82,$B$146,$G$63:$G$82,AY114)+SUMIFS($P$63:$P$82,$C$63:$C$82,$B$146,$H$63:$H$82,AY114))</f>
        <v/>
      </c>
      <c r="AZ146" s="408" t="str">
        <f>IF(AZ114="","",SUMIFS('Detailed Feasibility'!$N$63:$N$82,$C$63:$C$82,'Detailed Feasibility'!$B$146,'Detailed Feasibility'!$F$63:$F$82,'Detailed Feasibility'!AZ114)+SUMIFS($O$63:$O$82,$C$63:$C$82,$B$146,$G$63:$G$82,AZ114)+SUMIFS($P$63:$P$82,$C$63:$C$82,$B$146,$H$63:$H$82,AZ114))</f>
        <v/>
      </c>
      <c r="BA146" s="408" t="str">
        <f>IF(BA114="","",SUMIFS('Detailed Feasibility'!$N$63:$N$82,$C$63:$C$82,'Detailed Feasibility'!$B$146,'Detailed Feasibility'!$F$63:$F$82,'Detailed Feasibility'!BA114)+SUMIFS($O$63:$O$82,$C$63:$C$82,$B$146,$G$63:$G$82,BA114)+SUMIFS($P$63:$P$82,$C$63:$C$82,$B$146,$H$63:$H$82,BA114))</f>
        <v/>
      </c>
      <c r="BB146" s="408" t="str">
        <f>IF(BB114="","",SUMIFS('Detailed Feasibility'!$N$63:$N$82,$C$63:$C$82,'Detailed Feasibility'!$B$146,'Detailed Feasibility'!$F$63:$F$82,'Detailed Feasibility'!BB114)+SUMIFS($O$63:$O$82,$C$63:$C$82,$B$146,$G$63:$G$82,BB114)+SUMIFS($P$63:$P$82,$C$63:$C$82,$B$146,$H$63:$H$82,BB114))</f>
        <v/>
      </c>
      <c r="BC146" s="408" t="str">
        <f>IF(BC114="","",SUMIFS('Detailed Feasibility'!$N$63:$N$82,$C$63:$C$82,'Detailed Feasibility'!$B$146,'Detailed Feasibility'!$F$63:$F$82,'Detailed Feasibility'!BC114)+SUMIFS($O$63:$O$82,$C$63:$C$82,$B$146,$G$63:$G$82,BC114)+SUMIFS($P$63:$P$82,$C$63:$C$82,$B$146,$H$63:$H$82,BC114))</f>
        <v/>
      </c>
      <c r="BD146" s="408" t="str">
        <f>IF(BD114="","",SUMIFS('Detailed Feasibility'!$N$63:$N$82,$C$63:$C$82,'Detailed Feasibility'!$B$146,'Detailed Feasibility'!$F$63:$F$82,'Detailed Feasibility'!BD114)+SUMIFS($O$63:$O$82,$C$63:$C$82,$B$146,$G$63:$G$82,BD114)+SUMIFS($P$63:$P$82,$C$63:$C$82,$B$146,$H$63:$H$82,BD114))</f>
        <v/>
      </c>
      <c r="BE146" s="408" t="str">
        <f>IF(BE114="","",SUMIFS('Detailed Feasibility'!$N$63:$N$82,$C$63:$C$82,'Detailed Feasibility'!$B$146,'Detailed Feasibility'!$F$63:$F$82,'Detailed Feasibility'!BE114)+SUMIFS($O$63:$O$82,$C$63:$C$82,$B$146,$G$63:$G$82,BE114)+SUMIFS($P$63:$P$82,$C$63:$C$82,$B$146,$H$63:$H$82,BE114))</f>
        <v/>
      </c>
      <c r="BF146" s="408" t="str">
        <f>IF(BF114="","",SUMIFS('Detailed Feasibility'!$N$63:$N$82,$C$63:$C$82,'Detailed Feasibility'!$B$146,'Detailed Feasibility'!$F$63:$F$82,'Detailed Feasibility'!BF114)+SUMIFS($O$63:$O$82,$C$63:$C$82,$B$146,$G$63:$G$82,BF114)+SUMIFS($P$63:$P$82,$C$63:$C$82,$B$146,$H$63:$H$82,BF114))</f>
        <v/>
      </c>
      <c r="BG146" s="408" t="str">
        <f>IF(BG114="","",SUMIFS('Detailed Feasibility'!$N$63:$N$82,$C$63:$C$82,'Detailed Feasibility'!$B$146,'Detailed Feasibility'!$F$63:$F$82,'Detailed Feasibility'!BG114)+SUMIFS($O$63:$O$82,$C$63:$C$82,$B$146,$G$63:$G$82,BG114)+SUMIFS($P$63:$P$82,$C$63:$C$82,$B$146,$H$63:$H$82,BG114))</f>
        <v/>
      </c>
      <c r="BH146" s="408" t="str">
        <f>IF(BH114="","",SUMIFS('Detailed Feasibility'!$N$63:$N$82,$C$63:$C$82,'Detailed Feasibility'!$B$146,'Detailed Feasibility'!$F$63:$F$82,'Detailed Feasibility'!BH114)+SUMIFS($O$63:$O$82,$C$63:$C$82,$B$146,$G$63:$G$82,BH114)+SUMIFS($P$63:$P$82,$C$63:$C$82,$B$146,$H$63:$H$82,BH114))</f>
        <v/>
      </c>
      <c r="BI146" s="408" t="str">
        <f>IF(BI114="","",SUMIFS('Detailed Feasibility'!$N$63:$N$82,$C$63:$C$82,'Detailed Feasibility'!$B$146,'Detailed Feasibility'!$F$63:$F$82,'Detailed Feasibility'!BI114)+SUMIFS($O$63:$O$82,$C$63:$C$82,$B$146,$G$63:$G$82,BI114)+SUMIFS($P$63:$P$82,$C$63:$C$82,$B$146,$H$63:$H$82,BI114))</f>
        <v/>
      </c>
      <c r="BJ146" s="408" t="str">
        <f>IF(BJ114="","",SUMIFS('Detailed Feasibility'!$N$63:$N$82,$C$63:$C$82,'Detailed Feasibility'!$B$146,'Detailed Feasibility'!$F$63:$F$82,'Detailed Feasibility'!BJ114)+SUMIFS($O$63:$O$82,$C$63:$C$82,$B$146,$G$63:$G$82,BJ114)+SUMIFS($P$63:$P$82,$C$63:$C$82,$B$146,$H$63:$H$82,BJ114))</f>
        <v/>
      </c>
      <c r="BK146" s="408" t="str">
        <f>IF(BK114="","",SUMIFS('Detailed Feasibility'!$N$63:$N$82,$C$63:$C$82,'Detailed Feasibility'!$B$146,'Detailed Feasibility'!$F$63:$F$82,'Detailed Feasibility'!BK114)+SUMIFS($O$63:$O$82,$C$63:$C$82,$B$146,$G$63:$G$82,BK114)+SUMIFS($P$63:$P$82,$C$63:$C$82,$B$146,$H$63:$H$82,BK114))</f>
        <v/>
      </c>
      <c r="BL146" s="408" t="str">
        <f>IF(BL114="","",SUMIFS('Detailed Feasibility'!$N$63:$N$82,$C$63:$C$82,'Detailed Feasibility'!$B$146,'Detailed Feasibility'!$F$63:$F$82,'Detailed Feasibility'!BL114)+SUMIFS($O$63:$O$82,$C$63:$C$82,$B$146,$G$63:$G$82,BL114)+SUMIFS($P$63:$P$82,$C$63:$C$82,$B$146,$H$63:$H$82,BL114))</f>
        <v/>
      </c>
      <c r="BM146" s="409" t="str">
        <f>IF(BM114="","",SUMIFS('Detailed Feasibility'!$N$63:$N$82,$C$63:$C$82,'Detailed Feasibility'!$B$146,'Detailed Feasibility'!$F$63:$F$82,'Detailed Feasibility'!BM114)+SUMIFS($O$63:$O$82,$C$63:$C$82,$B$146,$G$63:$G$82,BM114)+SUMIFS($P$63:$P$82,$C$63:$C$82,$B$146,$H$63:$H$82,BM114))</f>
        <v/>
      </c>
    </row>
    <row r="147" spans="2:65" s="307" customFormat="1" x14ac:dyDescent="0.45">
      <c r="B147" s="648" t="str">
        <f t="shared" si="33"/>
        <v>3 Bed</v>
      </c>
      <c r="C147" s="407"/>
      <c r="D147" s="345">
        <f>'Detailed Feasibility Inputs'!F55</f>
        <v>540000</v>
      </c>
      <c r="E147" s="407">
        <f t="shared" ref="E147:E150" si="34">IF(SUM(F147:BM147)=D147,1,0)</f>
        <v>1</v>
      </c>
      <c r="F147" s="408">
        <f>SUMIFS('Detailed Feasibility'!$N$63:$N$84,$C$63:$C$84,'Detailed Feasibility'!$B$147,'Detailed Feasibility'!$F$63:$F$84,'Detailed Feasibility'!F114)+SUMIFS($O$63:$O$84,$C$63:$C$84,$B$147,$G$63:$G$84,F114)+SUMIFS($P$63:$P$84,$C$63:$C$84,$B$147,$H$63:$H$84,F114)</f>
        <v>0</v>
      </c>
      <c r="G147" s="408">
        <f>IF(G114="","",SUMIFS('Detailed Feasibility'!$N$63:$N$82,$C$63:$C$82,'Detailed Feasibility'!$B$147,'Detailed Feasibility'!$F$63:$F$82,'Detailed Feasibility'!G114)+SUMIFS($O$63:$O$82,$C$63:$C$82,$B$147,$G$63:$G$82,G114)+SUMIFS($P$63:$P$82,$C$63:$C$82,$B$147,$H$63:$H$82,G114))</f>
        <v>0</v>
      </c>
      <c r="H147" s="408">
        <f>IF(H114="","",SUMIFS('Detailed Feasibility'!$N$63:$N$82,$C$63:$C$82,'Detailed Feasibility'!$B$147,'Detailed Feasibility'!$F$63:$F$82,'Detailed Feasibility'!H114)+SUMIFS($O$63:$O$82,$C$63:$C$82,$B$147,$G$63:$G$82,H114)+SUMIFS($P$63:$P$82,$C$63:$C$82,$B$147,$H$63:$H$82,H114))</f>
        <v>0</v>
      </c>
      <c r="I147" s="408">
        <f>IF(I114="","",SUMIFS('Detailed Feasibility'!$N$63:$N$82,$C$63:$C$82,'Detailed Feasibility'!$B$147,'Detailed Feasibility'!$F$63:$F$82,'Detailed Feasibility'!I114)+SUMIFS($O$63:$O$82,$C$63:$C$82,$B$147,$G$63:$G$82,I114)+SUMIFS($P$63:$P$82,$C$63:$C$82,$B$147,$H$63:$H$82,I114))</f>
        <v>0</v>
      </c>
      <c r="J147" s="408">
        <f>IF(J114="","",SUMIFS('Detailed Feasibility'!$N$63:$N$82,$C$63:$C$82,'Detailed Feasibility'!$B$147,'Detailed Feasibility'!$F$63:$F$82,'Detailed Feasibility'!J114)+SUMIFS($O$63:$O$82,$C$63:$C$82,$B$147,$G$63:$G$82,J114)+SUMIFS($P$63:$P$82,$C$63:$C$82,$B$147,$H$63:$H$82,J114))</f>
        <v>0</v>
      </c>
      <c r="K147" s="408">
        <f>IF(K114="","",SUMIFS('Detailed Feasibility'!$N$63:$N$82,$C$63:$C$82,'Detailed Feasibility'!$B$147,'Detailed Feasibility'!$F$63:$F$82,'Detailed Feasibility'!K114)+SUMIFS($O$63:$O$82,$C$63:$C$82,$B$147,$G$63:$G$82,K114)+SUMIFS($P$63:$P$82,$C$63:$C$82,$B$147,$H$63:$H$82,K114))</f>
        <v>0</v>
      </c>
      <c r="L147" s="408">
        <f>IF(L114="","",SUMIFS('Detailed Feasibility'!$N$63:$N$82,$C$63:$C$82,'Detailed Feasibility'!$B$147,'Detailed Feasibility'!$F$63:$F$82,'Detailed Feasibility'!L114)+SUMIFS($O$63:$O$82,$C$63:$C$82,$B$147,$G$63:$G$82,L114)+SUMIFS($P$63:$P$82,$C$63:$C$82,$B$147,$H$63:$H$82,L114))</f>
        <v>0</v>
      </c>
      <c r="M147" s="408">
        <f>IF(M114="","",SUMIFS('Detailed Feasibility'!$N$63:$N$82,$C$63:$C$82,'Detailed Feasibility'!$B$147,'Detailed Feasibility'!$F$63:$F$82,'Detailed Feasibility'!M114)+SUMIFS($O$63:$O$82,$C$63:$C$82,$B$147,$G$63:$G$82,M114)+SUMIFS($P$63:$P$82,$C$63:$C$82,$B$147,$H$63:$H$82,M114))</f>
        <v>0</v>
      </c>
      <c r="N147" s="408">
        <f>IF(N114="","",SUMIFS('Detailed Feasibility'!$N$63:$N$82,$C$63:$C$82,'Detailed Feasibility'!$B$147,'Detailed Feasibility'!$F$63:$F$82,'Detailed Feasibility'!N114)+SUMIFS($O$63:$O$82,$C$63:$C$82,$B$147,$G$63:$G$82,N114)+SUMIFS($P$63:$P$82,$C$63:$C$82,$B$147,$H$63:$H$82,N114))</f>
        <v>0</v>
      </c>
      <c r="O147" s="408">
        <f>IF(O114="","",SUMIFS('Detailed Feasibility'!$N$63:$N$82,$C$63:$C$82,'Detailed Feasibility'!$B$147,'Detailed Feasibility'!$F$63:$F$82,'Detailed Feasibility'!O114)+SUMIFS($O$63:$O$82,$C$63:$C$82,$B$147,$G$63:$G$82,O114)+SUMIFS($P$63:$P$82,$C$63:$C$82,$B$147,$H$63:$H$82,O114))</f>
        <v>0</v>
      </c>
      <c r="P147" s="408">
        <f>IF(P114="","",SUMIFS('Detailed Feasibility'!$N$63:$N$82,$C$63:$C$82,'Detailed Feasibility'!$B$147,'Detailed Feasibility'!$F$63:$F$82,'Detailed Feasibility'!P114)+SUMIFS($O$63:$O$82,$C$63:$C$82,$B$147,$G$63:$G$82,P114)+SUMIFS($P$63:$P$82,$C$63:$C$82,$B$147,$H$63:$H$82,P114))</f>
        <v>0</v>
      </c>
      <c r="Q147" s="408">
        <f>IF(Q114="","",SUMIFS('Detailed Feasibility'!$N$63:$N$82,$C$63:$C$82,'Detailed Feasibility'!$B$147,'Detailed Feasibility'!$F$63:$F$82,'Detailed Feasibility'!Q114)+SUMIFS($O$63:$O$82,$C$63:$C$82,$B$147,$G$63:$G$82,Q114)+SUMIFS($P$63:$P$82,$C$63:$C$82,$B$147,$H$63:$H$82,Q114))</f>
        <v>0</v>
      </c>
      <c r="R147" s="408">
        <f>IF(R114="","",SUMIFS('Detailed Feasibility'!$N$63:$N$82,$C$63:$C$82,'Detailed Feasibility'!$B$147,'Detailed Feasibility'!$F$63:$F$82,'Detailed Feasibility'!R114)+SUMIFS($O$63:$O$82,$C$63:$C$82,$B$147,$G$63:$G$82,R114)+SUMIFS($P$63:$P$82,$C$63:$C$82,$B$147,$H$63:$H$82,R114))</f>
        <v>0</v>
      </c>
      <c r="S147" s="408">
        <f>IF(S114="","",SUMIFS('Detailed Feasibility'!$N$63:$N$82,$C$63:$C$82,'Detailed Feasibility'!$B$147,'Detailed Feasibility'!$F$63:$F$82,'Detailed Feasibility'!S114)+SUMIFS($O$63:$O$82,$C$63:$C$82,$B$147,$G$63:$G$82,S114)+SUMIFS($P$63:$P$82,$C$63:$C$82,$B$147,$H$63:$H$82,S114))</f>
        <v>0</v>
      </c>
      <c r="T147" s="408">
        <f>IF(T114="","",SUMIFS('Detailed Feasibility'!$N$63:$N$82,$C$63:$C$82,'Detailed Feasibility'!$B$147,'Detailed Feasibility'!$F$63:$F$82,'Detailed Feasibility'!T114)+SUMIFS($O$63:$O$82,$C$63:$C$82,$B$147,$G$63:$G$82,T114)+SUMIFS($P$63:$P$82,$C$63:$C$82,$B$147,$H$63:$H$82,T114))</f>
        <v>0</v>
      </c>
      <c r="U147" s="408">
        <f>IF(U114="","",SUMIFS('Detailed Feasibility'!$N$63:$N$82,$C$63:$C$82,'Detailed Feasibility'!$B$147,'Detailed Feasibility'!$F$63:$F$82,'Detailed Feasibility'!U114)+SUMIFS($O$63:$O$82,$C$63:$C$82,$B$147,$G$63:$G$82,U114)+SUMIFS($P$63:$P$82,$C$63:$C$82,$B$147,$H$63:$H$82,U114))</f>
        <v>0</v>
      </c>
      <c r="V147" s="408">
        <f>IF(V114="","",SUMIFS('Detailed Feasibility'!$N$63:$N$82,$C$63:$C$82,'Detailed Feasibility'!$B$147,'Detailed Feasibility'!$F$63:$F$82,'Detailed Feasibility'!V114)+SUMIFS($O$63:$O$82,$C$63:$C$82,$B$147,$G$63:$G$82,V114)+SUMIFS($P$63:$P$82,$C$63:$C$82,$B$147,$H$63:$H$82,V114))</f>
        <v>0</v>
      </c>
      <c r="W147" s="408">
        <f>IF(W114="","",SUMIFS('Detailed Feasibility'!$N$63:$N$82,$C$63:$C$82,'Detailed Feasibility'!$B$147,'Detailed Feasibility'!$F$63:$F$82,'Detailed Feasibility'!W114)+SUMIFS($O$63:$O$82,$C$63:$C$82,$B$147,$G$63:$G$82,W114)+SUMIFS($P$63:$P$82,$C$63:$C$82,$B$147,$H$63:$H$82,W114))</f>
        <v>0</v>
      </c>
      <c r="X147" s="408">
        <f>IF(X114="","",SUMIFS('Detailed Feasibility'!$N$63:$N$82,$C$63:$C$82,'Detailed Feasibility'!$B$147,'Detailed Feasibility'!$F$63:$F$82,'Detailed Feasibility'!X114)+SUMIFS($O$63:$O$82,$C$63:$C$82,$B$147,$G$63:$G$82,X114)+SUMIFS($P$63:$P$82,$C$63:$C$82,$B$147,$H$63:$H$82,X114))</f>
        <v>0</v>
      </c>
      <c r="Y147" s="408">
        <f>IF(Y114="","",SUMIFS('Detailed Feasibility'!$N$63:$N$82,$C$63:$C$82,'Detailed Feasibility'!$B$147,'Detailed Feasibility'!$F$63:$F$82,'Detailed Feasibility'!Y114)+SUMIFS($O$63:$O$82,$C$63:$C$82,$B$147,$G$63:$G$82,Y114)+SUMIFS($P$63:$P$82,$C$63:$C$82,$B$147,$H$63:$H$82,Y114))</f>
        <v>0</v>
      </c>
      <c r="Z147" s="408">
        <f>IF(Z114="","",SUMIFS('Detailed Feasibility'!$N$63:$N$82,$C$63:$C$82,'Detailed Feasibility'!$B$147,'Detailed Feasibility'!$F$63:$F$82,'Detailed Feasibility'!Z114)+SUMIFS($O$63:$O$82,$C$63:$C$82,$B$147,$G$63:$G$82,Z114)+SUMIFS($P$63:$P$82,$C$63:$C$82,$B$147,$H$63:$H$82,Z114))</f>
        <v>180000</v>
      </c>
      <c r="AA147" s="408">
        <f>IF(AA114="","",SUMIFS('Detailed Feasibility'!$N$63:$N$82,$C$63:$C$82,'Detailed Feasibility'!$B$147,'Detailed Feasibility'!$F$63:$F$82,'Detailed Feasibility'!AA114)+SUMIFS($O$63:$O$82,$C$63:$C$82,$B$147,$G$63:$G$82,AA114)+SUMIFS($P$63:$P$82,$C$63:$C$82,$B$147,$H$63:$H$82,AA114))</f>
        <v>0</v>
      </c>
      <c r="AB147" s="408">
        <f>IF(AB114="","",SUMIFS('Detailed Feasibility'!$N$63:$N$82,$C$63:$C$82,'Detailed Feasibility'!$B$147,'Detailed Feasibility'!$F$63:$F$82,'Detailed Feasibility'!AB114)+SUMIFS($O$63:$O$82,$C$63:$C$82,$B$147,$G$63:$G$82,AB114)+SUMIFS($P$63:$P$82,$C$63:$C$82,$B$147,$H$63:$H$82,AB114))</f>
        <v>0</v>
      </c>
      <c r="AC147" s="408">
        <f>IF(AC114="","",SUMIFS('Detailed Feasibility'!$N$63:$N$82,$C$63:$C$82,'Detailed Feasibility'!$B$147,'Detailed Feasibility'!$F$63:$F$82,'Detailed Feasibility'!AC114)+SUMIFS($O$63:$O$82,$C$63:$C$82,$B$147,$G$63:$G$82,AC114)+SUMIFS($P$63:$P$82,$C$63:$C$82,$B$147,$H$63:$H$82,AC114))</f>
        <v>180000</v>
      </c>
      <c r="AD147" s="408">
        <f>IF(AD114="","",SUMIFS('Detailed Feasibility'!$N$63:$N$82,$C$63:$C$82,'Detailed Feasibility'!$B$147,'Detailed Feasibility'!$F$63:$F$82,'Detailed Feasibility'!AD114)+SUMIFS($O$63:$O$82,$C$63:$C$82,$B$147,$G$63:$G$82,AD114)+SUMIFS($P$63:$P$82,$C$63:$C$82,$B$147,$H$63:$H$82,AD114))</f>
        <v>180000</v>
      </c>
      <c r="AE147" s="408">
        <f>IF(AE114="","",SUMIFS('Detailed Feasibility'!$N$63:$N$82,$C$63:$C$82,'Detailed Feasibility'!$B$147,'Detailed Feasibility'!$F$63:$F$82,'Detailed Feasibility'!AE114)+SUMIFS($O$63:$O$82,$C$63:$C$82,$B$147,$G$63:$G$82,AE114)+SUMIFS($P$63:$P$82,$C$63:$C$82,$B$147,$H$63:$H$82,AE114))</f>
        <v>0</v>
      </c>
      <c r="AF147" s="408">
        <f>IF(AF114="","",SUMIFS('Detailed Feasibility'!$N$63:$N$82,$C$63:$C$82,'Detailed Feasibility'!$B$147,'Detailed Feasibility'!$F$63:$F$82,'Detailed Feasibility'!AF114)+SUMIFS($O$63:$O$82,$C$63:$C$82,$B$147,$G$63:$G$82,AF114)+SUMIFS($P$63:$P$82,$C$63:$C$82,$B$147,$H$63:$H$82,AF114))</f>
        <v>0</v>
      </c>
      <c r="AG147" s="408">
        <f>IF(AG114="","",SUMIFS('Detailed Feasibility'!$N$63:$N$82,$C$63:$C$82,'Detailed Feasibility'!$B$147,'Detailed Feasibility'!$F$63:$F$82,'Detailed Feasibility'!AG114)+SUMIFS($O$63:$O$82,$C$63:$C$82,$B$147,$G$63:$G$82,AG114)+SUMIFS($P$63:$P$82,$C$63:$C$82,$B$147,$H$63:$H$82,AG114))</f>
        <v>0</v>
      </c>
      <c r="AH147" s="408">
        <f>IF(AH114="","",SUMIFS('Detailed Feasibility'!$N$63:$N$82,$C$63:$C$82,'Detailed Feasibility'!$B$147,'Detailed Feasibility'!$F$63:$F$82,'Detailed Feasibility'!AH114)+SUMIFS($O$63:$O$82,$C$63:$C$82,$B$147,$G$63:$G$82,AH114)+SUMIFS($P$63:$P$82,$C$63:$C$82,$B$147,$H$63:$H$82,AH114))</f>
        <v>0</v>
      </c>
      <c r="AI147" s="408">
        <f>IF(AI114="","",SUMIFS('Detailed Feasibility'!$N$63:$N$82,$C$63:$C$82,'Detailed Feasibility'!$B$147,'Detailed Feasibility'!$F$63:$F$82,'Detailed Feasibility'!AI114)+SUMIFS($O$63:$O$82,$C$63:$C$82,$B$147,$G$63:$G$82,AI114)+SUMIFS($P$63:$P$82,$C$63:$C$82,$B$147,$H$63:$H$82,AI114))</f>
        <v>0</v>
      </c>
      <c r="AJ147" s="408">
        <f>IF(AJ114="","",SUMIFS('Detailed Feasibility'!$N$63:$N$82,$C$63:$C$82,'Detailed Feasibility'!$B$147,'Detailed Feasibility'!$F$63:$F$82,'Detailed Feasibility'!AJ114)+SUMIFS($O$63:$O$82,$C$63:$C$82,$B$147,$G$63:$G$82,AJ114)+SUMIFS($P$63:$P$82,$C$63:$C$82,$B$147,$H$63:$H$82,AJ114))</f>
        <v>0</v>
      </c>
      <c r="AK147" s="408">
        <f>IF(AK114="","",SUMIFS('Detailed Feasibility'!$N$63:$N$82,$C$63:$C$82,'Detailed Feasibility'!$B$147,'Detailed Feasibility'!$F$63:$F$82,'Detailed Feasibility'!AK114)+SUMIFS($O$63:$O$82,$C$63:$C$82,$B$147,$G$63:$G$82,AK114)+SUMIFS($P$63:$P$82,$C$63:$C$82,$B$147,$H$63:$H$82,AK114))</f>
        <v>0</v>
      </c>
      <c r="AL147" s="408">
        <f>IF(AL114="","",SUMIFS('Detailed Feasibility'!$N$63:$N$82,$C$63:$C$82,'Detailed Feasibility'!$B$147,'Detailed Feasibility'!$F$63:$F$82,'Detailed Feasibility'!AL114)+SUMIFS($O$63:$O$82,$C$63:$C$82,$B$147,$G$63:$G$82,AL114)+SUMIFS($P$63:$P$82,$C$63:$C$82,$B$147,$H$63:$H$82,AL114))</f>
        <v>0</v>
      </c>
      <c r="AM147" s="408">
        <f>IF(AM114="","",SUMIFS('Detailed Feasibility'!$N$63:$N$82,$C$63:$C$82,'Detailed Feasibility'!$B$147,'Detailed Feasibility'!$F$63:$F$82,'Detailed Feasibility'!AM114)+SUMIFS($O$63:$O$82,$C$63:$C$82,$B$147,$G$63:$G$82,AM114)+SUMIFS($P$63:$P$82,$C$63:$C$82,$B$147,$H$63:$H$82,AM114))</f>
        <v>0</v>
      </c>
      <c r="AN147" s="408">
        <f>IF(AN114="","",SUMIFS('Detailed Feasibility'!$N$63:$N$82,$C$63:$C$82,'Detailed Feasibility'!$B$147,'Detailed Feasibility'!$F$63:$F$82,'Detailed Feasibility'!AN114)+SUMIFS($O$63:$O$82,$C$63:$C$82,$B$147,$G$63:$G$82,AN114)+SUMIFS($P$63:$P$82,$C$63:$C$82,$B$147,$H$63:$H$82,AN114))</f>
        <v>0</v>
      </c>
      <c r="AO147" s="408">
        <f>IF(AO114="","",SUMIFS('Detailed Feasibility'!$N$63:$N$82,$C$63:$C$82,'Detailed Feasibility'!$B$147,'Detailed Feasibility'!$F$63:$F$82,'Detailed Feasibility'!AO114)+SUMIFS($O$63:$O$82,$C$63:$C$82,$B$147,$G$63:$G$82,AO114)+SUMIFS($P$63:$P$82,$C$63:$C$82,$B$147,$H$63:$H$82,AO114))</f>
        <v>0</v>
      </c>
      <c r="AP147" s="408">
        <f>IF(AP114="","",SUMIFS('Detailed Feasibility'!$N$63:$N$82,$C$63:$C$82,'Detailed Feasibility'!$B$147,'Detailed Feasibility'!$F$63:$F$82,'Detailed Feasibility'!AP114)+SUMIFS($O$63:$O$82,$C$63:$C$82,$B$147,$G$63:$G$82,AP114)+SUMIFS($P$63:$P$82,$C$63:$C$82,$B$147,$H$63:$H$82,AP114))</f>
        <v>0</v>
      </c>
      <c r="AQ147" s="408" t="str">
        <f>IF(AQ114="","",SUMIFS('Detailed Feasibility'!$N$63:$N$82,$C$63:$C$82,'Detailed Feasibility'!$B$147,'Detailed Feasibility'!$F$63:$F$82,'Detailed Feasibility'!AQ114)+SUMIFS($O$63:$O$82,$C$63:$C$82,$B$147,$G$63:$G$82,AQ114)+SUMIFS($P$63:$P$82,$C$63:$C$82,$B$147,$H$63:$H$82,AQ114))</f>
        <v/>
      </c>
      <c r="AR147" s="408" t="str">
        <f>IF(AR114="","",SUMIFS('Detailed Feasibility'!$N$63:$N$82,$C$63:$C$82,'Detailed Feasibility'!$B$147,'Detailed Feasibility'!$F$63:$F$82,'Detailed Feasibility'!AR114)+SUMIFS($O$63:$O$82,$C$63:$C$82,$B$147,$G$63:$G$82,AR114)+SUMIFS($P$63:$P$82,$C$63:$C$82,$B$147,$H$63:$H$82,AR114))</f>
        <v/>
      </c>
      <c r="AS147" s="408" t="str">
        <f>IF(AS114="","",SUMIFS('Detailed Feasibility'!$N$63:$N$82,$C$63:$C$82,'Detailed Feasibility'!$B$147,'Detailed Feasibility'!$F$63:$F$82,'Detailed Feasibility'!AS114)+SUMIFS($O$63:$O$82,$C$63:$C$82,$B$147,$G$63:$G$82,AS114)+SUMIFS($P$63:$P$82,$C$63:$C$82,$B$147,$H$63:$H$82,AS114))</f>
        <v/>
      </c>
      <c r="AT147" s="408" t="str">
        <f>IF(AT114="","",SUMIFS('Detailed Feasibility'!$N$63:$N$82,$C$63:$C$82,'Detailed Feasibility'!$B$147,'Detailed Feasibility'!$F$63:$F$82,'Detailed Feasibility'!AT114)+SUMIFS($O$63:$O$82,$C$63:$C$82,$B$147,$G$63:$G$82,AT114)+SUMIFS($P$63:$P$82,$C$63:$C$82,$B$147,$H$63:$H$82,AT114))</f>
        <v/>
      </c>
      <c r="AU147" s="408" t="str">
        <f>IF(AU114="","",SUMIFS('Detailed Feasibility'!$N$63:$N$82,$C$63:$C$82,'Detailed Feasibility'!$B$147,'Detailed Feasibility'!$F$63:$F$82,'Detailed Feasibility'!AU114)+SUMIFS($O$63:$O$82,$C$63:$C$82,$B$147,$G$63:$G$82,AU114)+SUMIFS($P$63:$P$82,$C$63:$C$82,$B$147,$H$63:$H$82,AU114))</f>
        <v/>
      </c>
      <c r="AV147" s="408" t="str">
        <f>IF(AV114="","",SUMIFS('Detailed Feasibility'!$N$63:$N$82,$C$63:$C$82,'Detailed Feasibility'!$B$147,'Detailed Feasibility'!$F$63:$F$82,'Detailed Feasibility'!AV114)+SUMIFS($O$63:$O$82,$C$63:$C$82,$B$147,$G$63:$G$82,AV114)+SUMIFS($P$63:$P$82,$C$63:$C$82,$B$147,$H$63:$H$82,AV114))</f>
        <v/>
      </c>
      <c r="AW147" s="408" t="str">
        <f>IF(AW114="","",SUMIFS('Detailed Feasibility'!$N$63:$N$82,$C$63:$C$82,'Detailed Feasibility'!$B$147,'Detailed Feasibility'!$F$63:$F$82,'Detailed Feasibility'!AW114)+SUMIFS($O$63:$O$82,$C$63:$C$82,$B$147,$G$63:$G$82,AW114)+SUMIFS($P$63:$P$82,$C$63:$C$82,$B$147,$H$63:$H$82,AW114))</f>
        <v/>
      </c>
      <c r="AX147" s="408" t="str">
        <f>IF(AX114="","",SUMIFS('Detailed Feasibility'!$N$63:$N$82,$C$63:$C$82,'Detailed Feasibility'!$B$147,'Detailed Feasibility'!$F$63:$F$82,'Detailed Feasibility'!AX114)+SUMIFS($O$63:$O$82,$C$63:$C$82,$B$147,$G$63:$G$82,AX114)+SUMIFS($P$63:$P$82,$C$63:$C$82,$B$147,$H$63:$H$82,AX114))</f>
        <v/>
      </c>
      <c r="AY147" s="408" t="str">
        <f>IF(AY114="","",SUMIFS('Detailed Feasibility'!$N$63:$N$82,$C$63:$C$82,'Detailed Feasibility'!$B$147,'Detailed Feasibility'!$F$63:$F$82,'Detailed Feasibility'!AY114)+SUMIFS($O$63:$O$82,$C$63:$C$82,$B$147,$G$63:$G$82,AY114)+SUMIFS($P$63:$P$82,$C$63:$C$82,$B$147,$H$63:$H$82,AY114))</f>
        <v/>
      </c>
      <c r="AZ147" s="408" t="str">
        <f>IF(AZ114="","",SUMIFS('Detailed Feasibility'!$N$63:$N$82,$C$63:$C$82,'Detailed Feasibility'!$B$147,'Detailed Feasibility'!$F$63:$F$82,'Detailed Feasibility'!AZ114)+SUMIFS($O$63:$O$82,$C$63:$C$82,$B$147,$G$63:$G$82,AZ114)+SUMIFS($P$63:$P$82,$C$63:$C$82,$B$147,$H$63:$H$82,AZ114))</f>
        <v/>
      </c>
      <c r="BA147" s="408" t="str">
        <f>IF(BA114="","",SUMIFS('Detailed Feasibility'!$N$63:$N$82,$C$63:$C$82,'Detailed Feasibility'!$B$147,'Detailed Feasibility'!$F$63:$F$82,'Detailed Feasibility'!BA114)+SUMIFS($O$63:$O$82,$C$63:$C$82,$B$147,$G$63:$G$82,BA114)+SUMIFS($P$63:$P$82,$C$63:$C$82,$B$147,$H$63:$H$82,BA114))</f>
        <v/>
      </c>
      <c r="BB147" s="408" t="str">
        <f>IF(BB114="","",SUMIFS('Detailed Feasibility'!$N$63:$N$82,$C$63:$C$82,'Detailed Feasibility'!$B$147,'Detailed Feasibility'!$F$63:$F$82,'Detailed Feasibility'!BB114)+SUMIFS($O$63:$O$82,$C$63:$C$82,$B$147,$G$63:$G$82,BB114)+SUMIFS($P$63:$P$82,$C$63:$C$82,$B$147,$H$63:$H$82,BB114))</f>
        <v/>
      </c>
      <c r="BC147" s="408" t="str">
        <f>IF(BC114="","",SUMIFS('Detailed Feasibility'!$N$63:$N$82,$C$63:$C$82,'Detailed Feasibility'!$B$147,'Detailed Feasibility'!$F$63:$F$82,'Detailed Feasibility'!BC114)+SUMIFS($O$63:$O$82,$C$63:$C$82,$B$147,$G$63:$G$82,BC114)+SUMIFS($P$63:$P$82,$C$63:$C$82,$B$147,$H$63:$H$82,BC114))</f>
        <v/>
      </c>
      <c r="BD147" s="408" t="str">
        <f>IF(BD114="","",SUMIFS('Detailed Feasibility'!$N$63:$N$82,$C$63:$C$82,'Detailed Feasibility'!$B$147,'Detailed Feasibility'!$F$63:$F$82,'Detailed Feasibility'!BD114)+SUMIFS($O$63:$O$82,$C$63:$C$82,$B$147,$G$63:$G$82,BD114)+SUMIFS($P$63:$P$82,$C$63:$C$82,$B$147,$H$63:$H$82,BD114))</f>
        <v/>
      </c>
      <c r="BE147" s="408" t="str">
        <f>IF(BE114="","",SUMIFS('Detailed Feasibility'!$N$63:$N$82,$C$63:$C$82,'Detailed Feasibility'!$B$147,'Detailed Feasibility'!$F$63:$F$82,'Detailed Feasibility'!BE114)+SUMIFS($O$63:$O$82,$C$63:$C$82,$B$147,$G$63:$G$82,BE114)+SUMIFS($P$63:$P$82,$C$63:$C$82,$B$147,$H$63:$H$82,BE114))</f>
        <v/>
      </c>
      <c r="BF147" s="408" t="str">
        <f>IF(BF114="","",SUMIFS('Detailed Feasibility'!$N$63:$N$82,$C$63:$C$82,'Detailed Feasibility'!$B$147,'Detailed Feasibility'!$F$63:$F$82,'Detailed Feasibility'!BF114)+SUMIFS($O$63:$O$82,$C$63:$C$82,$B$147,$G$63:$G$82,BF114)+SUMIFS($P$63:$P$82,$C$63:$C$82,$B$147,$H$63:$H$82,BF114))</f>
        <v/>
      </c>
      <c r="BG147" s="408" t="str">
        <f>IF(BG114="","",SUMIFS('Detailed Feasibility'!$N$63:$N$82,$C$63:$C$82,'Detailed Feasibility'!$B$147,'Detailed Feasibility'!$F$63:$F$82,'Detailed Feasibility'!BG114)+SUMIFS($O$63:$O$82,$C$63:$C$82,$B$147,$G$63:$G$82,BG114)+SUMIFS($P$63:$P$82,$C$63:$C$82,$B$147,$H$63:$H$82,BG114))</f>
        <v/>
      </c>
      <c r="BH147" s="408" t="str">
        <f>IF(BH114="","",SUMIFS('Detailed Feasibility'!$N$63:$N$82,$C$63:$C$82,'Detailed Feasibility'!$B$147,'Detailed Feasibility'!$F$63:$F$82,'Detailed Feasibility'!BH114)+SUMIFS($O$63:$O$82,$C$63:$C$82,$B$147,$G$63:$G$82,BH114)+SUMIFS($P$63:$P$82,$C$63:$C$82,$B$147,$H$63:$H$82,BH114))</f>
        <v/>
      </c>
      <c r="BI147" s="408" t="str">
        <f>IF(BI114="","",SUMIFS('Detailed Feasibility'!$N$63:$N$82,$C$63:$C$82,'Detailed Feasibility'!$B$147,'Detailed Feasibility'!$F$63:$F$82,'Detailed Feasibility'!BI114)+SUMIFS($O$63:$O$82,$C$63:$C$82,$B$147,$G$63:$G$82,BI114)+SUMIFS($P$63:$P$82,$C$63:$C$82,$B$147,$H$63:$H$82,BI114))</f>
        <v/>
      </c>
      <c r="BJ147" s="408" t="str">
        <f>IF(BJ114="","",SUMIFS('Detailed Feasibility'!$N$63:$N$82,$C$63:$C$82,'Detailed Feasibility'!$B$147,'Detailed Feasibility'!$F$63:$F$82,'Detailed Feasibility'!BJ114)+SUMIFS($O$63:$O$82,$C$63:$C$82,$B$147,$G$63:$G$82,BJ114)+SUMIFS($P$63:$P$82,$C$63:$C$82,$B$147,$H$63:$H$82,BJ114))</f>
        <v/>
      </c>
      <c r="BK147" s="408" t="str">
        <f>IF(BK114="","",SUMIFS('Detailed Feasibility'!$N$63:$N$82,$C$63:$C$82,'Detailed Feasibility'!$B$147,'Detailed Feasibility'!$F$63:$F$82,'Detailed Feasibility'!BK114)+SUMIFS($O$63:$O$82,$C$63:$C$82,$B$147,$G$63:$G$82,BK114)+SUMIFS($P$63:$P$82,$C$63:$C$82,$B$147,$H$63:$H$82,BK114))</f>
        <v/>
      </c>
      <c r="BL147" s="408" t="str">
        <f>IF(BL114="","",SUMIFS('Detailed Feasibility'!$N$63:$N$82,$C$63:$C$82,'Detailed Feasibility'!$B$147,'Detailed Feasibility'!$F$63:$F$82,'Detailed Feasibility'!BL114)+SUMIFS($O$63:$O$82,$C$63:$C$82,$B$147,$G$63:$G$82,BL114)+SUMIFS($P$63:$P$82,$C$63:$C$82,$B$147,$H$63:$H$82,BL114))</f>
        <v/>
      </c>
      <c r="BM147" s="409" t="str">
        <f>IF(BM114="","",SUMIFS('Detailed Feasibility'!$N$63:$N$82,$C$63:$C$82,'Detailed Feasibility'!$B$147,'Detailed Feasibility'!$F$63:$F$82,'Detailed Feasibility'!BM114)+SUMIFS($O$63:$O$82,$C$63:$C$82,$B$147,$G$63:$G$82,BM114)+SUMIFS($P$63:$P$82,$C$63:$C$82,$B$147,$H$63:$H$82,BM114))</f>
        <v/>
      </c>
    </row>
    <row r="148" spans="2:65" s="307" customFormat="1" x14ac:dyDescent="0.45">
      <c r="B148" s="648" t="str">
        <f t="shared" si="33"/>
        <v>4 Bed</v>
      </c>
      <c r="C148" s="407"/>
      <c r="D148" s="345">
        <f>'Detailed Feasibility Inputs'!F56</f>
        <v>2520000</v>
      </c>
      <c r="E148" s="407">
        <f t="shared" si="34"/>
        <v>1</v>
      </c>
      <c r="F148" s="408">
        <f>SUMIFS('Detailed Feasibility'!$N$63:$N$84,$C$63:$C$84,'Detailed Feasibility'!$B$148,'Detailed Feasibility'!$F$63:$F$84,'Detailed Feasibility'!F114)+SUMIFS($O$63:$O$84,$C$63:$C$84,$B$148,$G$63:$G$84,F114)+SUMIFS($P$63:$P$84,$C$63:$C$84,$B$148,$H$63:$H$84,F114)</f>
        <v>0</v>
      </c>
      <c r="G148" s="408">
        <f>IF(G114="","",SUMIFS('Detailed Feasibility'!$N$63:$N$82,$C$63:$C$82,'Detailed Feasibility'!$B$148,'Detailed Feasibility'!$F$63:$F$82,'Detailed Feasibility'!G114)+SUMIFS($O$63:$O$82,$C$63:$C$82,$B$148,$G$63:$G$82,G114)+SUMIFS($P$63:$P$82,$C$63:$C$82,$B$148,$H$63:$H$82,G114))</f>
        <v>0</v>
      </c>
      <c r="H148" s="408">
        <f>IF(H114="","",SUMIFS('Detailed Feasibility'!$N$63:$N$82,$C$63:$C$82,'Detailed Feasibility'!$B$148,'Detailed Feasibility'!$F$63:$F$82,'Detailed Feasibility'!H114)+SUMIFS($O$63:$O$82,$C$63:$C$82,$B$148,$G$63:$G$82,H114)+SUMIFS($P$63:$P$82,$C$63:$C$82,$B$148,$H$63:$H$82,H114))</f>
        <v>0</v>
      </c>
      <c r="I148" s="408">
        <f>IF(I114="","",SUMIFS('Detailed Feasibility'!$N$63:$N$82,$C$63:$C$82,'Detailed Feasibility'!$B$148,'Detailed Feasibility'!$F$63:$F$82,'Detailed Feasibility'!I114)+SUMIFS($O$63:$O$82,$C$63:$C$82,$B$148,$G$63:$G$82,I114)+SUMIFS($P$63:$P$82,$C$63:$C$82,$B$148,$H$63:$H$82,I114))</f>
        <v>0</v>
      </c>
      <c r="J148" s="408">
        <f>IF(J114="","",SUMIFS('Detailed Feasibility'!$N$63:$N$82,$C$63:$C$82,'Detailed Feasibility'!$B$148,'Detailed Feasibility'!$F$63:$F$82,'Detailed Feasibility'!J114)+SUMIFS($O$63:$O$82,$C$63:$C$82,$B$148,$G$63:$G$82,J114)+SUMIFS($P$63:$P$82,$C$63:$C$82,$B$148,$H$63:$H$82,J114))</f>
        <v>0</v>
      </c>
      <c r="K148" s="408">
        <f>IF(K114="","",SUMIFS('Detailed Feasibility'!$N$63:$N$82,$C$63:$C$82,'Detailed Feasibility'!$B$148,'Detailed Feasibility'!$F$63:$F$82,'Detailed Feasibility'!K114)+SUMIFS($O$63:$O$82,$C$63:$C$82,$B$148,$G$63:$G$82,K114)+SUMIFS($P$63:$P$82,$C$63:$C$82,$B$148,$H$63:$H$82,K114))</f>
        <v>0</v>
      </c>
      <c r="L148" s="408">
        <f>IF(L114="","",SUMIFS('Detailed Feasibility'!$N$63:$N$82,$C$63:$C$82,'Detailed Feasibility'!$B$148,'Detailed Feasibility'!$F$63:$F$82,'Detailed Feasibility'!L114)+SUMIFS($O$63:$O$82,$C$63:$C$82,$B$148,$G$63:$G$82,L114)+SUMIFS($P$63:$P$82,$C$63:$C$82,$B$148,$H$63:$H$82,L114))</f>
        <v>0</v>
      </c>
      <c r="M148" s="408">
        <f>IF(M114="","",SUMIFS('Detailed Feasibility'!$N$63:$N$82,$C$63:$C$82,'Detailed Feasibility'!$B$148,'Detailed Feasibility'!$F$63:$F$82,'Detailed Feasibility'!M114)+SUMIFS($O$63:$O$82,$C$63:$C$82,$B$148,$G$63:$G$82,M114)+SUMIFS($P$63:$P$82,$C$63:$C$82,$B$148,$H$63:$H$82,M114))</f>
        <v>0</v>
      </c>
      <c r="N148" s="408">
        <f>IF(N114="","",SUMIFS('Detailed Feasibility'!$N$63:$N$82,$C$63:$C$82,'Detailed Feasibility'!$B$148,'Detailed Feasibility'!$F$63:$F$82,'Detailed Feasibility'!N114)+SUMIFS($O$63:$O$82,$C$63:$C$82,$B$148,$G$63:$G$82,N114)+SUMIFS($P$63:$P$82,$C$63:$C$82,$B$148,$H$63:$H$82,N114))</f>
        <v>0</v>
      </c>
      <c r="O148" s="408">
        <f>IF(O114="","",SUMIFS('Detailed Feasibility'!$N$63:$N$82,$C$63:$C$82,'Detailed Feasibility'!$B$148,'Detailed Feasibility'!$F$63:$F$82,'Detailed Feasibility'!O114)+SUMIFS($O$63:$O$82,$C$63:$C$82,$B$148,$G$63:$G$82,O114)+SUMIFS($P$63:$P$82,$C$63:$C$82,$B$148,$H$63:$H$82,O114))</f>
        <v>0</v>
      </c>
      <c r="P148" s="408">
        <f>IF(P114="","",SUMIFS('Detailed Feasibility'!$N$63:$N$82,$C$63:$C$82,'Detailed Feasibility'!$B$148,'Detailed Feasibility'!$F$63:$F$82,'Detailed Feasibility'!P114)+SUMIFS($O$63:$O$82,$C$63:$C$82,$B$148,$G$63:$G$82,P114)+SUMIFS($P$63:$P$82,$C$63:$C$82,$B$148,$H$63:$H$82,P114))</f>
        <v>0</v>
      </c>
      <c r="Q148" s="408">
        <f>IF(Q114="","",SUMIFS('Detailed Feasibility'!$N$63:$N$82,$C$63:$C$82,'Detailed Feasibility'!$B$148,'Detailed Feasibility'!$F$63:$F$82,'Detailed Feasibility'!Q114)+SUMIFS($O$63:$O$82,$C$63:$C$82,$B$148,$G$63:$G$82,Q114)+SUMIFS($P$63:$P$82,$C$63:$C$82,$B$148,$H$63:$H$82,Q114))</f>
        <v>0</v>
      </c>
      <c r="R148" s="408">
        <f>IF(R114="","",SUMIFS('Detailed Feasibility'!$N$63:$N$82,$C$63:$C$82,'Detailed Feasibility'!$B$148,'Detailed Feasibility'!$F$63:$F$82,'Detailed Feasibility'!R114)+SUMIFS($O$63:$O$82,$C$63:$C$82,$B$148,$G$63:$G$82,R114)+SUMIFS($P$63:$P$82,$C$63:$C$82,$B$148,$H$63:$H$82,R114))</f>
        <v>0</v>
      </c>
      <c r="S148" s="408">
        <f>IF(S114="","",SUMIFS('Detailed Feasibility'!$N$63:$N$82,$C$63:$C$82,'Detailed Feasibility'!$B$148,'Detailed Feasibility'!$F$63:$F$82,'Detailed Feasibility'!S114)+SUMIFS($O$63:$O$82,$C$63:$C$82,$B$148,$G$63:$G$82,S114)+SUMIFS($P$63:$P$82,$C$63:$C$82,$B$148,$H$63:$H$82,S114))</f>
        <v>0</v>
      </c>
      <c r="T148" s="408">
        <f>IF(T114="","",SUMIFS('Detailed Feasibility'!$N$63:$N$82,$C$63:$C$82,'Detailed Feasibility'!$B$148,'Detailed Feasibility'!$F$63:$F$82,'Detailed Feasibility'!T114)+SUMIFS($O$63:$O$82,$C$63:$C$82,$B$148,$G$63:$G$82,T114)+SUMIFS($P$63:$P$82,$C$63:$C$82,$B$148,$H$63:$H$82,T114))</f>
        <v>0</v>
      </c>
      <c r="U148" s="408">
        <f>IF(U114="","",SUMIFS('Detailed Feasibility'!$N$63:$N$82,$C$63:$C$82,'Detailed Feasibility'!$B$148,'Detailed Feasibility'!$F$63:$F$82,'Detailed Feasibility'!U114)+SUMIFS($O$63:$O$82,$C$63:$C$82,$B$148,$G$63:$G$82,U114)+SUMIFS($P$63:$P$82,$C$63:$C$82,$B$148,$H$63:$H$82,U114))</f>
        <v>0</v>
      </c>
      <c r="V148" s="408">
        <f>IF(V114="","",SUMIFS('Detailed Feasibility'!$N$63:$N$82,$C$63:$C$82,'Detailed Feasibility'!$B$148,'Detailed Feasibility'!$F$63:$F$82,'Detailed Feasibility'!V114)+SUMIFS($O$63:$O$82,$C$63:$C$82,$B$148,$G$63:$G$82,V114)+SUMIFS($P$63:$P$82,$C$63:$C$82,$B$148,$H$63:$H$82,V114))</f>
        <v>0</v>
      </c>
      <c r="W148" s="408">
        <f>IF(W114="","",SUMIFS('Detailed Feasibility'!$N$63:$N$82,$C$63:$C$82,'Detailed Feasibility'!$B$148,'Detailed Feasibility'!$F$63:$F$82,'Detailed Feasibility'!W114)+SUMIFS($O$63:$O$82,$C$63:$C$82,$B$148,$G$63:$G$82,W114)+SUMIFS($P$63:$P$82,$C$63:$C$82,$B$148,$H$63:$H$82,W114))</f>
        <v>0</v>
      </c>
      <c r="X148" s="408">
        <f>IF(X114="","",SUMIFS('Detailed Feasibility'!$N$63:$N$82,$C$63:$C$82,'Detailed Feasibility'!$B$148,'Detailed Feasibility'!$F$63:$F$82,'Detailed Feasibility'!X114)+SUMIFS($O$63:$O$82,$C$63:$C$82,$B$148,$G$63:$G$82,X114)+SUMIFS($P$63:$P$82,$C$63:$C$82,$B$148,$H$63:$H$82,X114))</f>
        <v>0</v>
      </c>
      <c r="Y148" s="408">
        <f>IF(Y114="","",SUMIFS('Detailed Feasibility'!$N$63:$N$82,$C$63:$C$82,'Detailed Feasibility'!$B$148,'Detailed Feasibility'!$F$63:$F$82,'Detailed Feasibility'!Y114)+SUMIFS($O$63:$O$82,$C$63:$C$82,$B$148,$G$63:$G$82,Y114)+SUMIFS($P$63:$P$82,$C$63:$C$82,$B$148,$H$63:$H$82,Y114))</f>
        <v>0</v>
      </c>
      <c r="Z148" s="408">
        <f>IF(Z114="","",SUMIFS('Detailed Feasibility'!$N$63:$N$82,$C$63:$C$82,'Detailed Feasibility'!$B$148,'Detailed Feasibility'!$F$63:$F$82,'Detailed Feasibility'!Z114)+SUMIFS($O$63:$O$82,$C$63:$C$82,$B$148,$G$63:$G$82,Z114)+SUMIFS($P$63:$P$82,$C$63:$C$82,$B$148,$H$63:$H$82,Z114))</f>
        <v>0</v>
      </c>
      <c r="AA148" s="408">
        <f>IF(AA114="","",SUMIFS('Detailed Feasibility'!$N$63:$N$82,$C$63:$C$82,'Detailed Feasibility'!$B$148,'Detailed Feasibility'!$F$63:$F$82,'Detailed Feasibility'!AA114)+SUMIFS($O$63:$O$82,$C$63:$C$82,$B$148,$G$63:$G$82,AA114)+SUMIFS($P$63:$P$82,$C$63:$C$82,$B$148,$H$63:$H$82,AA114))</f>
        <v>0</v>
      </c>
      <c r="AB148" s="408">
        <f>IF(AB114="","",SUMIFS('Detailed Feasibility'!$N$63:$N$82,$C$63:$C$82,'Detailed Feasibility'!$B$148,'Detailed Feasibility'!$F$63:$F$82,'Detailed Feasibility'!AB114)+SUMIFS($O$63:$O$82,$C$63:$C$82,$B$148,$G$63:$G$82,AB114)+SUMIFS($P$63:$P$82,$C$63:$C$82,$B$148,$H$63:$H$82,AB114))</f>
        <v>0</v>
      </c>
      <c r="AC148" s="408">
        <f>IF(AC114="","",SUMIFS('Detailed Feasibility'!$N$63:$N$82,$C$63:$C$82,'Detailed Feasibility'!$B$148,'Detailed Feasibility'!$F$63:$F$82,'Detailed Feasibility'!AC114)+SUMIFS($O$63:$O$82,$C$63:$C$82,$B$148,$G$63:$G$82,AC114)+SUMIFS($P$63:$P$82,$C$63:$C$82,$B$148,$H$63:$H$82,AC114))</f>
        <v>840000</v>
      </c>
      <c r="AD148" s="408">
        <f>IF(AD114="","",SUMIFS('Detailed Feasibility'!$N$63:$N$82,$C$63:$C$82,'Detailed Feasibility'!$B$148,'Detailed Feasibility'!$F$63:$F$82,'Detailed Feasibility'!AD114)+SUMIFS($O$63:$O$82,$C$63:$C$82,$B$148,$G$63:$G$82,AD114)+SUMIFS($P$63:$P$82,$C$63:$C$82,$B$148,$H$63:$H$82,AD114))</f>
        <v>0</v>
      </c>
      <c r="AE148" s="408">
        <f>IF(AE114="","",SUMIFS('Detailed Feasibility'!$N$63:$N$82,$C$63:$C$82,'Detailed Feasibility'!$B$148,'Detailed Feasibility'!$F$63:$F$82,'Detailed Feasibility'!AE114)+SUMIFS($O$63:$O$82,$C$63:$C$82,$B$148,$G$63:$G$82,AE114)+SUMIFS($P$63:$P$82,$C$63:$C$82,$B$148,$H$63:$H$82,AE114))</f>
        <v>0</v>
      </c>
      <c r="AF148" s="408">
        <f>IF(AF114="","",SUMIFS('Detailed Feasibility'!$N$63:$N$82,$C$63:$C$82,'Detailed Feasibility'!$B$148,'Detailed Feasibility'!$F$63:$F$82,'Detailed Feasibility'!AF114)+SUMIFS($O$63:$O$82,$C$63:$C$82,$B$148,$G$63:$G$82,AF114)+SUMIFS($P$63:$P$82,$C$63:$C$82,$B$148,$H$63:$H$82,AF114))</f>
        <v>840000</v>
      </c>
      <c r="AG148" s="408">
        <f>IF(AG114="","",SUMIFS('Detailed Feasibility'!$N$63:$N$82,$C$63:$C$82,'Detailed Feasibility'!$B$148,'Detailed Feasibility'!$F$63:$F$82,'Detailed Feasibility'!AG114)+SUMIFS($O$63:$O$82,$C$63:$C$82,$B$148,$G$63:$G$82,AG114)+SUMIFS($P$63:$P$82,$C$63:$C$82,$B$148,$H$63:$H$82,AG114))</f>
        <v>840000</v>
      </c>
      <c r="AH148" s="408">
        <f>IF(AH114="","",SUMIFS('Detailed Feasibility'!$N$63:$N$82,$C$63:$C$82,'Detailed Feasibility'!$B$148,'Detailed Feasibility'!$F$63:$F$82,'Detailed Feasibility'!AH114)+SUMIFS($O$63:$O$82,$C$63:$C$82,$B$148,$G$63:$G$82,AH114)+SUMIFS($P$63:$P$82,$C$63:$C$82,$B$148,$H$63:$H$82,AH114))</f>
        <v>0</v>
      </c>
      <c r="AI148" s="408">
        <f>IF(AI114="","",SUMIFS('Detailed Feasibility'!$N$63:$N$82,$C$63:$C$82,'Detailed Feasibility'!$B$148,'Detailed Feasibility'!$F$63:$F$82,'Detailed Feasibility'!AI114)+SUMIFS($O$63:$O$82,$C$63:$C$82,$B$148,$G$63:$G$82,AI114)+SUMIFS($P$63:$P$82,$C$63:$C$82,$B$148,$H$63:$H$82,AI114))</f>
        <v>0</v>
      </c>
      <c r="AJ148" s="408">
        <f>IF(AJ114="","",SUMIFS('Detailed Feasibility'!$N$63:$N$82,$C$63:$C$82,'Detailed Feasibility'!$B$148,'Detailed Feasibility'!$F$63:$F$82,'Detailed Feasibility'!AJ114)+SUMIFS($O$63:$O$82,$C$63:$C$82,$B$148,$G$63:$G$82,AJ114)+SUMIFS($P$63:$P$82,$C$63:$C$82,$B$148,$H$63:$H$82,AJ114))</f>
        <v>0</v>
      </c>
      <c r="AK148" s="408">
        <f>IF(AK114="","",SUMIFS('Detailed Feasibility'!$N$63:$N$82,$C$63:$C$82,'Detailed Feasibility'!$B$148,'Detailed Feasibility'!$F$63:$F$82,'Detailed Feasibility'!AK114)+SUMIFS($O$63:$O$82,$C$63:$C$82,$B$148,$G$63:$G$82,AK114)+SUMIFS($P$63:$P$82,$C$63:$C$82,$B$148,$H$63:$H$82,AK114))</f>
        <v>0</v>
      </c>
      <c r="AL148" s="408">
        <f>IF(AL114="","",SUMIFS('Detailed Feasibility'!$N$63:$N$82,$C$63:$C$82,'Detailed Feasibility'!$B$148,'Detailed Feasibility'!$F$63:$F$82,'Detailed Feasibility'!AL114)+SUMIFS($O$63:$O$82,$C$63:$C$82,$B$148,$G$63:$G$82,AL114)+SUMIFS($P$63:$P$82,$C$63:$C$82,$B$148,$H$63:$H$82,AL114))</f>
        <v>0</v>
      </c>
      <c r="AM148" s="408">
        <f>IF(AM114="","",SUMIFS('Detailed Feasibility'!$N$63:$N$82,$C$63:$C$82,'Detailed Feasibility'!$B$148,'Detailed Feasibility'!$F$63:$F$82,'Detailed Feasibility'!AM114)+SUMIFS($O$63:$O$82,$C$63:$C$82,$B$148,$G$63:$G$82,AM114)+SUMIFS($P$63:$P$82,$C$63:$C$82,$B$148,$H$63:$H$82,AM114))</f>
        <v>0</v>
      </c>
      <c r="AN148" s="408">
        <f>IF(AN114="","",SUMIFS('Detailed Feasibility'!$N$63:$N$82,$C$63:$C$82,'Detailed Feasibility'!$B$148,'Detailed Feasibility'!$F$63:$F$82,'Detailed Feasibility'!AN114)+SUMIFS($O$63:$O$82,$C$63:$C$82,$B$148,$G$63:$G$82,AN114)+SUMIFS($P$63:$P$82,$C$63:$C$82,$B$148,$H$63:$H$82,AN114))</f>
        <v>0</v>
      </c>
      <c r="AO148" s="408">
        <f>IF(AO114="","",SUMIFS('Detailed Feasibility'!$N$63:$N$82,$C$63:$C$82,'Detailed Feasibility'!$B$148,'Detailed Feasibility'!$F$63:$F$82,'Detailed Feasibility'!AO114)+SUMIFS($O$63:$O$82,$C$63:$C$82,$B$148,$G$63:$G$82,AO114)+SUMIFS($P$63:$P$82,$C$63:$C$82,$B$148,$H$63:$H$82,AO114))</f>
        <v>0</v>
      </c>
      <c r="AP148" s="408">
        <f>IF(AP114="","",SUMIFS('Detailed Feasibility'!$N$63:$N$82,$C$63:$C$82,'Detailed Feasibility'!$B$148,'Detailed Feasibility'!$F$63:$F$82,'Detailed Feasibility'!AP114)+SUMIFS($O$63:$O$82,$C$63:$C$82,$B$148,$G$63:$G$82,AP114)+SUMIFS($P$63:$P$82,$C$63:$C$82,$B$148,$H$63:$H$82,AP114))</f>
        <v>0</v>
      </c>
      <c r="AQ148" s="408" t="str">
        <f>IF(AQ114="","",SUMIFS('Detailed Feasibility'!$N$63:$N$82,$C$63:$C$82,'Detailed Feasibility'!$B$148,'Detailed Feasibility'!$F$63:$F$82,'Detailed Feasibility'!AQ114)+SUMIFS($O$63:$O$82,$C$63:$C$82,$B$148,$G$63:$G$82,AQ114)+SUMIFS($P$63:$P$82,$C$63:$C$82,$B$148,$H$63:$H$82,AQ114))</f>
        <v/>
      </c>
      <c r="AR148" s="408" t="str">
        <f>IF(AR114="","",SUMIFS('Detailed Feasibility'!$N$63:$N$82,$C$63:$C$82,'Detailed Feasibility'!$B$148,'Detailed Feasibility'!$F$63:$F$82,'Detailed Feasibility'!AR114)+SUMIFS($O$63:$O$82,$C$63:$C$82,$B$148,$G$63:$G$82,AR114)+SUMIFS($P$63:$P$82,$C$63:$C$82,$B$148,$H$63:$H$82,AR114))</f>
        <v/>
      </c>
      <c r="AS148" s="408" t="str">
        <f>IF(AS114="","",SUMIFS('Detailed Feasibility'!$N$63:$N$82,$C$63:$C$82,'Detailed Feasibility'!$B$148,'Detailed Feasibility'!$F$63:$F$82,'Detailed Feasibility'!AS114)+SUMIFS($O$63:$O$82,$C$63:$C$82,$B$148,$G$63:$G$82,AS114)+SUMIFS($P$63:$P$82,$C$63:$C$82,$B$148,$H$63:$H$82,AS114))</f>
        <v/>
      </c>
      <c r="AT148" s="408" t="str">
        <f>IF(AT114="","",SUMIFS('Detailed Feasibility'!$N$63:$N$82,$C$63:$C$82,'Detailed Feasibility'!$B$148,'Detailed Feasibility'!$F$63:$F$82,'Detailed Feasibility'!AT114)+SUMIFS($O$63:$O$82,$C$63:$C$82,$B$148,$G$63:$G$82,AT114)+SUMIFS($P$63:$P$82,$C$63:$C$82,$B$148,$H$63:$H$82,AT114))</f>
        <v/>
      </c>
      <c r="AU148" s="408" t="str">
        <f>IF(AU114="","",SUMIFS('Detailed Feasibility'!$N$63:$N$82,$C$63:$C$82,'Detailed Feasibility'!$B$148,'Detailed Feasibility'!$F$63:$F$82,'Detailed Feasibility'!AU114)+SUMIFS($O$63:$O$82,$C$63:$C$82,$B$148,$G$63:$G$82,AU114)+SUMIFS($P$63:$P$82,$C$63:$C$82,$B$148,$H$63:$H$82,AU114))</f>
        <v/>
      </c>
      <c r="AV148" s="408" t="str">
        <f>IF(AV114="","",SUMIFS('Detailed Feasibility'!$N$63:$N$82,$C$63:$C$82,'Detailed Feasibility'!$B$148,'Detailed Feasibility'!$F$63:$F$82,'Detailed Feasibility'!AV114)+SUMIFS($O$63:$O$82,$C$63:$C$82,$B$148,$G$63:$G$82,AV114)+SUMIFS($P$63:$P$82,$C$63:$C$82,$B$148,$H$63:$H$82,AV114))</f>
        <v/>
      </c>
      <c r="AW148" s="408" t="str">
        <f>IF(AW114="","",SUMIFS('Detailed Feasibility'!$N$63:$N$82,$C$63:$C$82,'Detailed Feasibility'!$B$148,'Detailed Feasibility'!$F$63:$F$82,'Detailed Feasibility'!AW114)+SUMIFS($O$63:$O$82,$C$63:$C$82,$B$148,$G$63:$G$82,AW114)+SUMIFS($P$63:$P$82,$C$63:$C$82,$B$148,$H$63:$H$82,AW114))</f>
        <v/>
      </c>
      <c r="AX148" s="408" t="str">
        <f>IF(AX114="","",SUMIFS('Detailed Feasibility'!$N$63:$N$82,$C$63:$C$82,'Detailed Feasibility'!$B$148,'Detailed Feasibility'!$F$63:$F$82,'Detailed Feasibility'!AX114)+SUMIFS($O$63:$O$82,$C$63:$C$82,$B$148,$G$63:$G$82,AX114)+SUMIFS($P$63:$P$82,$C$63:$C$82,$B$148,$H$63:$H$82,AX114))</f>
        <v/>
      </c>
      <c r="AY148" s="408" t="str">
        <f>IF(AY114="","",SUMIFS('Detailed Feasibility'!$N$63:$N$82,$C$63:$C$82,'Detailed Feasibility'!$B$148,'Detailed Feasibility'!$F$63:$F$82,'Detailed Feasibility'!AY114)+SUMIFS($O$63:$O$82,$C$63:$C$82,$B$148,$G$63:$G$82,AY114)+SUMIFS($P$63:$P$82,$C$63:$C$82,$B$148,$H$63:$H$82,AY114))</f>
        <v/>
      </c>
      <c r="AZ148" s="408" t="str">
        <f>IF(AZ114="","",SUMIFS('Detailed Feasibility'!$N$63:$N$82,$C$63:$C$82,'Detailed Feasibility'!$B$148,'Detailed Feasibility'!$F$63:$F$82,'Detailed Feasibility'!AZ114)+SUMIFS($O$63:$O$82,$C$63:$C$82,$B$148,$G$63:$G$82,AZ114)+SUMIFS($P$63:$P$82,$C$63:$C$82,$B$148,$H$63:$H$82,AZ114))</f>
        <v/>
      </c>
      <c r="BA148" s="408" t="str">
        <f>IF(BA114="","",SUMIFS('Detailed Feasibility'!$N$63:$N$82,$C$63:$C$82,'Detailed Feasibility'!$B$148,'Detailed Feasibility'!$F$63:$F$82,'Detailed Feasibility'!BA114)+SUMIFS($O$63:$O$82,$C$63:$C$82,$B$148,$G$63:$G$82,BA114)+SUMIFS($P$63:$P$82,$C$63:$C$82,$B$148,$H$63:$H$82,BA114))</f>
        <v/>
      </c>
      <c r="BB148" s="408" t="str">
        <f>IF(BB114="","",SUMIFS('Detailed Feasibility'!$N$63:$N$82,$C$63:$C$82,'Detailed Feasibility'!$B$148,'Detailed Feasibility'!$F$63:$F$82,'Detailed Feasibility'!BB114)+SUMIFS($O$63:$O$82,$C$63:$C$82,$B$148,$G$63:$G$82,BB114)+SUMIFS($P$63:$P$82,$C$63:$C$82,$B$148,$H$63:$H$82,BB114))</f>
        <v/>
      </c>
      <c r="BC148" s="408" t="str">
        <f>IF(BC114="","",SUMIFS('Detailed Feasibility'!$N$63:$N$82,$C$63:$C$82,'Detailed Feasibility'!$B$148,'Detailed Feasibility'!$F$63:$F$82,'Detailed Feasibility'!BC114)+SUMIFS($O$63:$O$82,$C$63:$C$82,$B$148,$G$63:$G$82,BC114)+SUMIFS($P$63:$P$82,$C$63:$C$82,$B$148,$H$63:$H$82,BC114))</f>
        <v/>
      </c>
      <c r="BD148" s="408" t="str">
        <f>IF(BD114="","",SUMIFS('Detailed Feasibility'!$N$63:$N$82,$C$63:$C$82,'Detailed Feasibility'!$B$148,'Detailed Feasibility'!$F$63:$F$82,'Detailed Feasibility'!BD114)+SUMIFS($O$63:$O$82,$C$63:$C$82,$B$148,$G$63:$G$82,BD114)+SUMIFS($P$63:$P$82,$C$63:$C$82,$B$148,$H$63:$H$82,BD114))</f>
        <v/>
      </c>
      <c r="BE148" s="408" t="str">
        <f>IF(BE114="","",SUMIFS('Detailed Feasibility'!$N$63:$N$82,$C$63:$C$82,'Detailed Feasibility'!$B$148,'Detailed Feasibility'!$F$63:$F$82,'Detailed Feasibility'!BE114)+SUMIFS($O$63:$O$82,$C$63:$C$82,$B$148,$G$63:$G$82,BE114)+SUMIFS($P$63:$P$82,$C$63:$C$82,$B$148,$H$63:$H$82,BE114))</f>
        <v/>
      </c>
      <c r="BF148" s="408" t="str">
        <f>IF(BF114="","",SUMIFS('Detailed Feasibility'!$N$63:$N$82,$C$63:$C$82,'Detailed Feasibility'!$B$148,'Detailed Feasibility'!$F$63:$F$82,'Detailed Feasibility'!BF114)+SUMIFS($O$63:$O$82,$C$63:$C$82,$B$148,$G$63:$G$82,BF114)+SUMIFS($P$63:$P$82,$C$63:$C$82,$B$148,$H$63:$H$82,BF114))</f>
        <v/>
      </c>
      <c r="BG148" s="408" t="str">
        <f>IF(BG114="","",SUMIFS('Detailed Feasibility'!$N$63:$N$82,$C$63:$C$82,'Detailed Feasibility'!$B$148,'Detailed Feasibility'!$F$63:$F$82,'Detailed Feasibility'!BG114)+SUMIFS($O$63:$O$82,$C$63:$C$82,$B$148,$G$63:$G$82,BG114)+SUMIFS($P$63:$P$82,$C$63:$C$82,$B$148,$H$63:$H$82,BG114))</f>
        <v/>
      </c>
      <c r="BH148" s="408" t="str">
        <f>IF(BH114="","",SUMIFS('Detailed Feasibility'!$N$63:$N$82,$C$63:$C$82,'Detailed Feasibility'!$B$148,'Detailed Feasibility'!$F$63:$F$82,'Detailed Feasibility'!BH114)+SUMIFS($O$63:$O$82,$C$63:$C$82,$B$148,$G$63:$G$82,BH114)+SUMIFS($P$63:$P$82,$C$63:$C$82,$B$148,$H$63:$H$82,BH114))</f>
        <v/>
      </c>
      <c r="BI148" s="408" t="str">
        <f>IF(BI114="","",SUMIFS('Detailed Feasibility'!$N$63:$N$82,$C$63:$C$82,'Detailed Feasibility'!$B$148,'Detailed Feasibility'!$F$63:$F$82,'Detailed Feasibility'!BI114)+SUMIFS($O$63:$O$82,$C$63:$C$82,$B$148,$G$63:$G$82,BI114)+SUMIFS($P$63:$P$82,$C$63:$C$82,$B$148,$H$63:$H$82,BI114))</f>
        <v/>
      </c>
      <c r="BJ148" s="408" t="str">
        <f>IF(BJ114="","",SUMIFS('Detailed Feasibility'!$N$63:$N$82,$C$63:$C$82,'Detailed Feasibility'!$B$148,'Detailed Feasibility'!$F$63:$F$82,'Detailed Feasibility'!BJ114)+SUMIFS($O$63:$O$82,$C$63:$C$82,$B$148,$G$63:$G$82,BJ114)+SUMIFS($P$63:$P$82,$C$63:$C$82,$B$148,$H$63:$H$82,BJ114))</f>
        <v/>
      </c>
      <c r="BK148" s="408" t="str">
        <f>IF(BK114="","",SUMIFS('Detailed Feasibility'!$N$63:$N$82,$C$63:$C$82,'Detailed Feasibility'!$B$148,'Detailed Feasibility'!$F$63:$F$82,'Detailed Feasibility'!BK114)+SUMIFS($O$63:$O$82,$C$63:$C$82,$B$148,$G$63:$G$82,BK114)+SUMIFS($P$63:$P$82,$C$63:$C$82,$B$148,$H$63:$H$82,BK114))</f>
        <v/>
      </c>
      <c r="BL148" s="408" t="str">
        <f>IF(BL114="","",SUMIFS('Detailed Feasibility'!$N$63:$N$82,$C$63:$C$82,'Detailed Feasibility'!$B$148,'Detailed Feasibility'!$F$63:$F$82,'Detailed Feasibility'!BL114)+SUMIFS($O$63:$O$82,$C$63:$C$82,$B$148,$G$63:$G$82,BL114)+SUMIFS($P$63:$P$82,$C$63:$C$82,$B$148,$H$63:$H$82,BL114))</f>
        <v/>
      </c>
      <c r="BM148" s="409" t="str">
        <f>IF(BM114="","",SUMIFS('Detailed Feasibility'!$N$63:$N$82,$C$63:$C$82,'Detailed Feasibility'!$B$148,'Detailed Feasibility'!$F$63:$F$82,'Detailed Feasibility'!BM114)+SUMIFS($O$63:$O$82,$C$63:$C$82,$B$148,$G$63:$G$82,BM114)+SUMIFS($P$63:$P$82,$C$63:$C$82,$B$148,$H$63:$H$82,BM114))</f>
        <v/>
      </c>
    </row>
    <row r="149" spans="2:65" s="307" customFormat="1" x14ac:dyDescent="0.45">
      <c r="B149" s="648" t="str">
        <f t="shared" si="33"/>
        <v>5 Bed</v>
      </c>
      <c r="C149" s="407"/>
      <c r="D149" s="345">
        <f>'Detailed Feasibility Inputs'!F57</f>
        <v>0</v>
      </c>
      <c r="E149" s="407">
        <f t="shared" si="34"/>
        <v>1</v>
      </c>
      <c r="F149" s="408">
        <f>SUMIFS('Detailed Feasibility'!$N$63:$N$84,$C$63:$C$84,'Detailed Feasibility'!$B$149,'Detailed Feasibility'!$F$63:$F$84,'Detailed Feasibility'!F114)+SUMIFS($O$63:$O$84,$C$63:$C$84,$B$149,$G$63:$G$84,F114)+SUMIFS($P$63:$P$84,$C$63:$C$84,$B$149,$H$63:$H$84,F114)</f>
        <v>0</v>
      </c>
      <c r="G149" s="408">
        <f>IF(G114="","",SUMIFS('Detailed Feasibility'!$N$63:$N$82,$C$63:$C$82,'Detailed Feasibility'!$B$149,'Detailed Feasibility'!$F$63:$F$82,'Detailed Feasibility'!G114)+SUMIFS($O$63:$O$82,$C$63:$C$82,$B$149,$G$63:$G$82,G114)+SUMIFS($P$63:$P$82,$C$63:$C$82,$B$149,$H$63:$H$82,G114))</f>
        <v>0</v>
      </c>
      <c r="H149" s="408">
        <f>IF(H114="","",SUMIFS('Detailed Feasibility'!$N$63:$N$82,$C$63:$C$82,'Detailed Feasibility'!$B$149,'Detailed Feasibility'!$F$63:$F$82,'Detailed Feasibility'!H114)+SUMIFS($O$63:$O$82,$C$63:$C$82,$B$149,$G$63:$G$82,H114)+SUMIFS($P$63:$P$82,$C$63:$C$82,$B$149,$H$63:$H$82,H114))</f>
        <v>0</v>
      </c>
      <c r="I149" s="408">
        <f>IF(I114="","",SUMIFS('Detailed Feasibility'!$N$63:$N$82,$C$63:$C$82,'Detailed Feasibility'!$B$149,'Detailed Feasibility'!$F$63:$F$82,'Detailed Feasibility'!I114)+SUMIFS($O$63:$O$82,$C$63:$C$82,$B$149,$G$63:$G$82,I114)+SUMIFS($P$63:$P$82,$C$63:$C$82,$B$149,$H$63:$H$82,I114))</f>
        <v>0</v>
      </c>
      <c r="J149" s="408">
        <f>IF(J114="","",SUMIFS('Detailed Feasibility'!$N$63:$N$82,$C$63:$C$82,'Detailed Feasibility'!$B$149,'Detailed Feasibility'!$F$63:$F$82,'Detailed Feasibility'!J114)+SUMIFS($O$63:$O$82,$C$63:$C$82,$B$149,$G$63:$G$82,J114)+SUMIFS($P$63:$P$82,$C$63:$C$82,$B$149,$H$63:$H$82,J114))</f>
        <v>0</v>
      </c>
      <c r="K149" s="408">
        <f>IF(K114="","",SUMIFS('Detailed Feasibility'!$N$63:$N$82,$C$63:$C$82,'Detailed Feasibility'!$B$149,'Detailed Feasibility'!$F$63:$F$82,'Detailed Feasibility'!K114)+SUMIFS($O$63:$O$82,$C$63:$C$82,$B$149,$G$63:$G$82,K114)+SUMIFS($P$63:$P$82,$C$63:$C$82,$B$149,$H$63:$H$82,K114))</f>
        <v>0</v>
      </c>
      <c r="L149" s="408">
        <f>IF(L114="","",SUMIFS('Detailed Feasibility'!$N$63:$N$82,$C$63:$C$82,'Detailed Feasibility'!$B$149,'Detailed Feasibility'!$F$63:$F$82,'Detailed Feasibility'!L114)+SUMIFS($O$63:$O$82,$C$63:$C$82,$B$149,$G$63:$G$82,L114)+SUMIFS($P$63:$P$82,$C$63:$C$82,$B$149,$H$63:$H$82,L114))</f>
        <v>0</v>
      </c>
      <c r="M149" s="408">
        <f>IF(M114="","",SUMIFS('Detailed Feasibility'!$N$63:$N$82,$C$63:$C$82,'Detailed Feasibility'!$B$149,'Detailed Feasibility'!$F$63:$F$82,'Detailed Feasibility'!M114)+SUMIFS($O$63:$O$82,$C$63:$C$82,$B$149,$G$63:$G$82,M114)+SUMIFS($P$63:$P$82,$C$63:$C$82,$B$149,$H$63:$H$82,M114))</f>
        <v>0</v>
      </c>
      <c r="N149" s="408">
        <f>IF(N114="","",SUMIFS('Detailed Feasibility'!$N$63:$N$82,$C$63:$C$82,'Detailed Feasibility'!$B$149,'Detailed Feasibility'!$F$63:$F$82,'Detailed Feasibility'!N114)+SUMIFS($O$63:$O$82,$C$63:$C$82,$B$149,$G$63:$G$82,N114)+SUMIFS($P$63:$P$82,$C$63:$C$82,$B$149,$H$63:$H$82,N114))</f>
        <v>0</v>
      </c>
      <c r="O149" s="408">
        <f>IF(O114="","",SUMIFS('Detailed Feasibility'!$N$63:$N$82,$C$63:$C$82,'Detailed Feasibility'!$B$149,'Detailed Feasibility'!$F$63:$F$82,'Detailed Feasibility'!O114)+SUMIFS($O$63:$O$82,$C$63:$C$82,$B$149,$G$63:$G$82,O114)+SUMIFS($P$63:$P$82,$C$63:$C$82,$B$149,$H$63:$H$82,O114))</f>
        <v>0</v>
      </c>
      <c r="P149" s="408">
        <f>IF(P114="","",SUMIFS('Detailed Feasibility'!$N$63:$N$82,$C$63:$C$82,'Detailed Feasibility'!$B$149,'Detailed Feasibility'!$F$63:$F$82,'Detailed Feasibility'!P114)+SUMIFS($O$63:$O$82,$C$63:$C$82,$B$149,$G$63:$G$82,P114)+SUMIFS($P$63:$P$82,$C$63:$C$82,$B$149,$H$63:$H$82,P114))</f>
        <v>0</v>
      </c>
      <c r="Q149" s="408">
        <f>IF(Q114="","",SUMIFS('Detailed Feasibility'!$N$63:$N$82,$C$63:$C$82,'Detailed Feasibility'!$B$149,'Detailed Feasibility'!$F$63:$F$82,'Detailed Feasibility'!Q114)+SUMIFS($O$63:$O$82,$C$63:$C$82,$B$149,$G$63:$G$82,Q114)+SUMIFS($P$63:$P$82,$C$63:$C$82,$B$149,$H$63:$H$82,Q114))</f>
        <v>0</v>
      </c>
      <c r="R149" s="408">
        <f>IF(R114="","",SUMIFS('Detailed Feasibility'!$N$63:$N$82,$C$63:$C$82,'Detailed Feasibility'!$B$149,'Detailed Feasibility'!$F$63:$F$82,'Detailed Feasibility'!R114)+SUMIFS($O$63:$O$82,$C$63:$C$82,$B$149,$G$63:$G$82,R114)+SUMIFS($P$63:$P$82,$C$63:$C$82,$B$149,$H$63:$H$82,R114))</f>
        <v>0</v>
      </c>
      <c r="S149" s="408">
        <f>IF(S114="","",SUMIFS('Detailed Feasibility'!$N$63:$N$82,$C$63:$C$82,'Detailed Feasibility'!$B$149,'Detailed Feasibility'!$F$63:$F$82,'Detailed Feasibility'!S114)+SUMIFS($O$63:$O$82,$C$63:$C$82,$B$149,$G$63:$G$82,S114)+SUMIFS($P$63:$P$82,$C$63:$C$82,$B$149,$H$63:$H$82,S114))</f>
        <v>0</v>
      </c>
      <c r="T149" s="408">
        <f>IF(T114="","",SUMIFS('Detailed Feasibility'!$N$63:$N$82,$C$63:$C$82,'Detailed Feasibility'!$B$149,'Detailed Feasibility'!$F$63:$F$82,'Detailed Feasibility'!T114)+SUMIFS($O$63:$O$82,$C$63:$C$82,$B$149,$G$63:$G$82,T114)+SUMIFS($P$63:$P$82,$C$63:$C$82,$B$149,$H$63:$H$82,T114))</f>
        <v>0</v>
      </c>
      <c r="U149" s="408">
        <f>IF(U114="","",SUMIFS('Detailed Feasibility'!$N$63:$N$82,$C$63:$C$82,'Detailed Feasibility'!$B$149,'Detailed Feasibility'!$F$63:$F$82,'Detailed Feasibility'!U114)+SUMIFS($O$63:$O$82,$C$63:$C$82,$B$149,$G$63:$G$82,U114)+SUMIFS($P$63:$P$82,$C$63:$C$82,$B$149,$H$63:$H$82,U114))</f>
        <v>0</v>
      </c>
      <c r="V149" s="408">
        <f>IF(V114="","",SUMIFS('Detailed Feasibility'!$N$63:$N$82,$C$63:$C$82,'Detailed Feasibility'!$B$149,'Detailed Feasibility'!$F$63:$F$82,'Detailed Feasibility'!V114)+SUMIFS($O$63:$O$82,$C$63:$C$82,$B$149,$G$63:$G$82,V114)+SUMIFS($P$63:$P$82,$C$63:$C$82,$B$149,$H$63:$H$82,V114))</f>
        <v>0</v>
      </c>
      <c r="W149" s="408">
        <f>IF(W114="","",SUMIFS('Detailed Feasibility'!$N$63:$N$82,$C$63:$C$82,'Detailed Feasibility'!$B$149,'Detailed Feasibility'!$F$63:$F$82,'Detailed Feasibility'!W114)+SUMIFS($O$63:$O$82,$C$63:$C$82,$B$149,$G$63:$G$82,W114)+SUMIFS($P$63:$P$82,$C$63:$C$82,$B$149,$H$63:$H$82,W114))</f>
        <v>0</v>
      </c>
      <c r="X149" s="408">
        <f>IF(X114="","",SUMIFS('Detailed Feasibility'!$N$63:$N$82,$C$63:$C$82,'Detailed Feasibility'!$B$149,'Detailed Feasibility'!$F$63:$F$82,'Detailed Feasibility'!X114)+SUMIFS($O$63:$O$82,$C$63:$C$82,$B$149,$G$63:$G$82,X114)+SUMIFS($P$63:$P$82,$C$63:$C$82,$B$149,$H$63:$H$82,X114))</f>
        <v>0</v>
      </c>
      <c r="Y149" s="408">
        <f>IF(Y114="","",SUMIFS('Detailed Feasibility'!$N$63:$N$82,$C$63:$C$82,'Detailed Feasibility'!$B$149,'Detailed Feasibility'!$F$63:$F$82,'Detailed Feasibility'!Y114)+SUMIFS($O$63:$O$82,$C$63:$C$82,$B$149,$G$63:$G$82,Y114)+SUMIFS($P$63:$P$82,$C$63:$C$82,$B$149,$H$63:$H$82,Y114))</f>
        <v>0</v>
      </c>
      <c r="Z149" s="408">
        <f>IF(Z114="","",SUMIFS('Detailed Feasibility'!$N$63:$N$82,$C$63:$C$82,'Detailed Feasibility'!$B$149,'Detailed Feasibility'!$F$63:$F$82,'Detailed Feasibility'!Z114)+SUMIFS($O$63:$O$82,$C$63:$C$82,$B$149,$G$63:$G$82,Z114)+SUMIFS($P$63:$P$82,$C$63:$C$82,$B$149,$H$63:$H$82,Z114))</f>
        <v>0</v>
      </c>
      <c r="AA149" s="408">
        <f>IF(AA114="","",SUMIFS('Detailed Feasibility'!$N$63:$N$82,$C$63:$C$82,'Detailed Feasibility'!$B$149,'Detailed Feasibility'!$F$63:$F$82,'Detailed Feasibility'!AA114)+SUMIFS($O$63:$O$82,$C$63:$C$82,$B$149,$G$63:$G$82,AA114)+SUMIFS($P$63:$P$82,$C$63:$C$82,$B$149,$H$63:$H$82,AA114))</f>
        <v>0</v>
      </c>
      <c r="AB149" s="408">
        <f>IF(AB114="","",SUMIFS('Detailed Feasibility'!$N$63:$N$82,$C$63:$C$82,'Detailed Feasibility'!$B$149,'Detailed Feasibility'!$F$63:$F$82,'Detailed Feasibility'!AB114)+SUMIFS($O$63:$O$82,$C$63:$C$82,$B$149,$G$63:$G$82,AB114)+SUMIFS($P$63:$P$82,$C$63:$C$82,$B$149,$H$63:$H$82,AB114))</f>
        <v>0</v>
      </c>
      <c r="AC149" s="408">
        <f>IF(AC114="","",SUMIFS('Detailed Feasibility'!$N$63:$N$82,$C$63:$C$82,'Detailed Feasibility'!$B$149,'Detailed Feasibility'!$F$63:$F$82,'Detailed Feasibility'!AC114)+SUMIFS($O$63:$O$82,$C$63:$C$82,$B$149,$G$63:$G$82,AC114)+SUMIFS($P$63:$P$82,$C$63:$C$82,$B$149,$H$63:$H$82,AC114))</f>
        <v>0</v>
      </c>
      <c r="AD149" s="408">
        <f>IF(AD114="","",SUMIFS('Detailed Feasibility'!$N$63:$N$82,$C$63:$C$82,'Detailed Feasibility'!$B$149,'Detailed Feasibility'!$F$63:$F$82,'Detailed Feasibility'!AD114)+SUMIFS($O$63:$O$82,$C$63:$C$82,$B$149,$G$63:$G$82,AD114)+SUMIFS($P$63:$P$82,$C$63:$C$82,$B$149,$H$63:$H$82,AD114))</f>
        <v>0</v>
      </c>
      <c r="AE149" s="408">
        <f>IF(AE114="","",SUMIFS('Detailed Feasibility'!$N$63:$N$82,$C$63:$C$82,'Detailed Feasibility'!$B$149,'Detailed Feasibility'!$F$63:$F$82,'Detailed Feasibility'!AE114)+SUMIFS($O$63:$O$82,$C$63:$C$82,$B$149,$G$63:$G$82,AE114)+SUMIFS($P$63:$P$82,$C$63:$C$82,$B$149,$H$63:$H$82,AE114))</f>
        <v>0</v>
      </c>
      <c r="AF149" s="408">
        <f>IF(AF114="","",SUMIFS('Detailed Feasibility'!$N$63:$N$82,$C$63:$C$82,'Detailed Feasibility'!$B$149,'Detailed Feasibility'!$F$63:$F$82,'Detailed Feasibility'!AF114)+SUMIFS($O$63:$O$82,$C$63:$C$82,$B$149,$G$63:$G$82,AF114)+SUMIFS($P$63:$P$82,$C$63:$C$82,$B$149,$H$63:$H$82,AF114))</f>
        <v>0</v>
      </c>
      <c r="AG149" s="408">
        <f>IF(AG114="","",SUMIFS('Detailed Feasibility'!$N$63:$N$82,$C$63:$C$82,'Detailed Feasibility'!$B$149,'Detailed Feasibility'!$F$63:$F$82,'Detailed Feasibility'!AG114)+SUMIFS($O$63:$O$82,$C$63:$C$82,$B$149,$G$63:$G$82,AG114)+SUMIFS($P$63:$P$82,$C$63:$C$82,$B$149,$H$63:$H$82,AG114))</f>
        <v>0</v>
      </c>
      <c r="AH149" s="408">
        <f>IF(AH114="","",SUMIFS('Detailed Feasibility'!$N$63:$N$82,$C$63:$C$82,'Detailed Feasibility'!$B$149,'Detailed Feasibility'!$F$63:$F$82,'Detailed Feasibility'!AH114)+SUMIFS($O$63:$O$82,$C$63:$C$82,$B$149,$G$63:$G$82,AH114)+SUMIFS($P$63:$P$82,$C$63:$C$82,$B$149,$H$63:$H$82,AH114))</f>
        <v>0</v>
      </c>
      <c r="AI149" s="408">
        <f>IF(AI114="","",SUMIFS('Detailed Feasibility'!$N$63:$N$82,$C$63:$C$82,'Detailed Feasibility'!$B$149,'Detailed Feasibility'!$F$63:$F$82,'Detailed Feasibility'!AI114)+SUMIFS($O$63:$O$82,$C$63:$C$82,$B$149,$G$63:$G$82,AI114)+SUMIFS($P$63:$P$82,$C$63:$C$82,$B$149,$H$63:$H$82,AI114))</f>
        <v>0</v>
      </c>
      <c r="AJ149" s="408">
        <f>IF(AJ114="","",SUMIFS('Detailed Feasibility'!$N$63:$N$82,$C$63:$C$82,'Detailed Feasibility'!$B$149,'Detailed Feasibility'!$F$63:$F$82,'Detailed Feasibility'!AJ114)+SUMIFS($O$63:$O$82,$C$63:$C$82,$B$149,$G$63:$G$82,AJ114)+SUMIFS($P$63:$P$82,$C$63:$C$82,$B$149,$H$63:$H$82,AJ114))</f>
        <v>0</v>
      </c>
      <c r="AK149" s="408">
        <f>IF(AK114="","",SUMIFS('Detailed Feasibility'!$N$63:$N$82,$C$63:$C$82,'Detailed Feasibility'!$B$149,'Detailed Feasibility'!$F$63:$F$82,'Detailed Feasibility'!AK114)+SUMIFS($O$63:$O$82,$C$63:$C$82,$B$149,$G$63:$G$82,AK114)+SUMIFS($P$63:$P$82,$C$63:$C$82,$B$149,$H$63:$H$82,AK114))</f>
        <v>0</v>
      </c>
      <c r="AL149" s="408">
        <f>IF(AL114="","",SUMIFS('Detailed Feasibility'!$N$63:$N$82,$C$63:$C$82,'Detailed Feasibility'!$B$149,'Detailed Feasibility'!$F$63:$F$82,'Detailed Feasibility'!AL114)+SUMIFS($O$63:$O$82,$C$63:$C$82,$B$149,$G$63:$G$82,AL114)+SUMIFS($P$63:$P$82,$C$63:$C$82,$B$149,$H$63:$H$82,AL114))</f>
        <v>0</v>
      </c>
      <c r="AM149" s="408">
        <f>IF(AM114="","",SUMIFS('Detailed Feasibility'!$N$63:$N$82,$C$63:$C$82,'Detailed Feasibility'!$B$149,'Detailed Feasibility'!$F$63:$F$82,'Detailed Feasibility'!AM114)+SUMIFS($O$63:$O$82,$C$63:$C$82,$B$149,$G$63:$G$82,AM114)+SUMIFS($P$63:$P$82,$C$63:$C$82,$B$149,$H$63:$H$82,AM114))</f>
        <v>0</v>
      </c>
      <c r="AN149" s="408">
        <f>IF(AN114="","",SUMIFS('Detailed Feasibility'!$N$63:$N$82,$C$63:$C$82,'Detailed Feasibility'!$B$149,'Detailed Feasibility'!$F$63:$F$82,'Detailed Feasibility'!AN114)+SUMIFS($O$63:$O$82,$C$63:$C$82,$B$149,$G$63:$G$82,AN114)+SUMIFS($P$63:$P$82,$C$63:$C$82,$B$149,$H$63:$H$82,AN114))</f>
        <v>0</v>
      </c>
      <c r="AO149" s="408">
        <f>IF(AO114="","",SUMIFS('Detailed Feasibility'!$N$63:$N$82,$C$63:$C$82,'Detailed Feasibility'!$B$149,'Detailed Feasibility'!$F$63:$F$82,'Detailed Feasibility'!AO114)+SUMIFS($O$63:$O$82,$C$63:$C$82,$B$149,$G$63:$G$82,AO114)+SUMIFS($P$63:$P$82,$C$63:$C$82,$B$149,$H$63:$H$82,AO114))</f>
        <v>0</v>
      </c>
      <c r="AP149" s="408">
        <f>IF(AP114="","",SUMIFS('Detailed Feasibility'!$N$63:$N$82,$C$63:$C$82,'Detailed Feasibility'!$B$149,'Detailed Feasibility'!$F$63:$F$82,'Detailed Feasibility'!AP114)+SUMIFS($O$63:$O$82,$C$63:$C$82,$B$149,$G$63:$G$82,AP114)+SUMIFS($P$63:$P$82,$C$63:$C$82,$B$149,$H$63:$H$82,AP114))</f>
        <v>0</v>
      </c>
      <c r="AQ149" s="408" t="str">
        <f>IF(AQ114="","",SUMIFS('Detailed Feasibility'!$N$63:$N$82,$C$63:$C$82,'Detailed Feasibility'!$B$149,'Detailed Feasibility'!$F$63:$F$82,'Detailed Feasibility'!AQ114)+SUMIFS($O$63:$O$82,$C$63:$C$82,$B$149,$G$63:$G$82,AQ114)+SUMIFS($P$63:$P$82,$C$63:$C$82,$B$149,$H$63:$H$82,AQ114))</f>
        <v/>
      </c>
      <c r="AR149" s="408" t="str">
        <f>IF(AR114="","",SUMIFS('Detailed Feasibility'!$N$63:$N$82,$C$63:$C$82,'Detailed Feasibility'!$B$149,'Detailed Feasibility'!$F$63:$F$82,'Detailed Feasibility'!AR114)+SUMIFS($O$63:$O$82,$C$63:$C$82,$B$149,$G$63:$G$82,AR114)+SUMIFS($P$63:$P$82,$C$63:$C$82,$B$149,$H$63:$H$82,AR114))</f>
        <v/>
      </c>
      <c r="AS149" s="408" t="str">
        <f>IF(AS114="","",SUMIFS('Detailed Feasibility'!$N$63:$N$82,$C$63:$C$82,'Detailed Feasibility'!$B$149,'Detailed Feasibility'!$F$63:$F$82,'Detailed Feasibility'!AS114)+SUMIFS($O$63:$O$82,$C$63:$C$82,$B$149,$G$63:$G$82,AS114)+SUMIFS($P$63:$P$82,$C$63:$C$82,$B$149,$H$63:$H$82,AS114))</f>
        <v/>
      </c>
      <c r="AT149" s="408" t="str">
        <f>IF(AT114="","",SUMIFS('Detailed Feasibility'!$N$63:$N$82,$C$63:$C$82,'Detailed Feasibility'!$B$149,'Detailed Feasibility'!$F$63:$F$82,'Detailed Feasibility'!AT114)+SUMIFS($O$63:$O$82,$C$63:$C$82,$B$149,$G$63:$G$82,AT114)+SUMIFS($P$63:$P$82,$C$63:$C$82,$B$149,$H$63:$H$82,AT114))</f>
        <v/>
      </c>
      <c r="AU149" s="408" t="str">
        <f>IF(AU114="","",SUMIFS('Detailed Feasibility'!$N$63:$N$82,$C$63:$C$82,'Detailed Feasibility'!$B$149,'Detailed Feasibility'!$F$63:$F$82,'Detailed Feasibility'!AU114)+SUMIFS($O$63:$O$82,$C$63:$C$82,$B$149,$G$63:$G$82,AU114)+SUMIFS($P$63:$P$82,$C$63:$C$82,$B$149,$H$63:$H$82,AU114))</f>
        <v/>
      </c>
      <c r="AV149" s="408" t="str">
        <f>IF(AV114="","",SUMIFS('Detailed Feasibility'!$N$63:$N$82,$C$63:$C$82,'Detailed Feasibility'!$B$149,'Detailed Feasibility'!$F$63:$F$82,'Detailed Feasibility'!AV114)+SUMIFS($O$63:$O$82,$C$63:$C$82,$B$149,$G$63:$G$82,AV114)+SUMIFS($P$63:$P$82,$C$63:$C$82,$B$149,$H$63:$H$82,AV114))</f>
        <v/>
      </c>
      <c r="AW149" s="408" t="str">
        <f>IF(AW114="","",SUMIFS('Detailed Feasibility'!$N$63:$N$82,$C$63:$C$82,'Detailed Feasibility'!$B$149,'Detailed Feasibility'!$F$63:$F$82,'Detailed Feasibility'!AW114)+SUMIFS($O$63:$O$82,$C$63:$C$82,$B$149,$G$63:$G$82,AW114)+SUMIFS($P$63:$P$82,$C$63:$C$82,$B$149,$H$63:$H$82,AW114))</f>
        <v/>
      </c>
      <c r="AX149" s="408" t="str">
        <f>IF(AX114="","",SUMIFS('Detailed Feasibility'!$N$63:$N$82,$C$63:$C$82,'Detailed Feasibility'!$B$149,'Detailed Feasibility'!$F$63:$F$82,'Detailed Feasibility'!AX114)+SUMIFS($O$63:$O$82,$C$63:$C$82,$B$149,$G$63:$G$82,AX114)+SUMIFS($P$63:$P$82,$C$63:$C$82,$B$149,$H$63:$H$82,AX114))</f>
        <v/>
      </c>
      <c r="AY149" s="408" t="str">
        <f>IF(AY114="","",SUMIFS('Detailed Feasibility'!$N$63:$N$82,$C$63:$C$82,'Detailed Feasibility'!$B$149,'Detailed Feasibility'!$F$63:$F$82,'Detailed Feasibility'!AY114)+SUMIFS($O$63:$O$82,$C$63:$C$82,$B$149,$G$63:$G$82,AY114)+SUMIFS($P$63:$P$82,$C$63:$C$82,$B$149,$H$63:$H$82,AY114))</f>
        <v/>
      </c>
      <c r="AZ149" s="408" t="str">
        <f>IF(AZ114="","",SUMIFS('Detailed Feasibility'!$N$63:$N$82,$C$63:$C$82,'Detailed Feasibility'!$B$149,'Detailed Feasibility'!$F$63:$F$82,'Detailed Feasibility'!AZ114)+SUMIFS($O$63:$O$82,$C$63:$C$82,$B$149,$G$63:$G$82,AZ114)+SUMIFS($P$63:$P$82,$C$63:$C$82,$B$149,$H$63:$H$82,AZ114))</f>
        <v/>
      </c>
      <c r="BA149" s="408" t="str">
        <f>IF(BA114="","",SUMIFS('Detailed Feasibility'!$N$63:$N$82,$C$63:$C$82,'Detailed Feasibility'!$B$149,'Detailed Feasibility'!$F$63:$F$82,'Detailed Feasibility'!BA114)+SUMIFS($O$63:$O$82,$C$63:$C$82,$B$149,$G$63:$G$82,BA114)+SUMIFS($P$63:$P$82,$C$63:$C$82,$B$149,$H$63:$H$82,BA114))</f>
        <v/>
      </c>
      <c r="BB149" s="408" t="str">
        <f>IF(BB114="","",SUMIFS('Detailed Feasibility'!$N$63:$N$82,$C$63:$C$82,'Detailed Feasibility'!$B$149,'Detailed Feasibility'!$F$63:$F$82,'Detailed Feasibility'!BB114)+SUMIFS($O$63:$O$82,$C$63:$C$82,$B$149,$G$63:$G$82,BB114)+SUMIFS($P$63:$P$82,$C$63:$C$82,$B$149,$H$63:$H$82,BB114))</f>
        <v/>
      </c>
      <c r="BC149" s="408" t="str">
        <f>IF(BC114="","",SUMIFS('Detailed Feasibility'!$N$63:$N$82,$C$63:$C$82,'Detailed Feasibility'!$B$149,'Detailed Feasibility'!$F$63:$F$82,'Detailed Feasibility'!BC114)+SUMIFS($O$63:$O$82,$C$63:$C$82,$B$149,$G$63:$G$82,BC114)+SUMIFS($P$63:$P$82,$C$63:$C$82,$B$149,$H$63:$H$82,BC114))</f>
        <v/>
      </c>
      <c r="BD149" s="408" t="str">
        <f>IF(BD114="","",SUMIFS('Detailed Feasibility'!$N$63:$N$82,$C$63:$C$82,'Detailed Feasibility'!$B$149,'Detailed Feasibility'!$F$63:$F$82,'Detailed Feasibility'!BD114)+SUMIFS($O$63:$O$82,$C$63:$C$82,$B$149,$G$63:$G$82,BD114)+SUMIFS($P$63:$P$82,$C$63:$C$82,$B$149,$H$63:$H$82,BD114))</f>
        <v/>
      </c>
      <c r="BE149" s="408" t="str">
        <f>IF(BE114="","",SUMIFS('Detailed Feasibility'!$N$63:$N$82,$C$63:$C$82,'Detailed Feasibility'!$B$149,'Detailed Feasibility'!$F$63:$F$82,'Detailed Feasibility'!BE114)+SUMIFS($O$63:$O$82,$C$63:$C$82,$B$149,$G$63:$G$82,BE114)+SUMIFS($P$63:$P$82,$C$63:$C$82,$B$149,$H$63:$H$82,BE114))</f>
        <v/>
      </c>
      <c r="BF149" s="408" t="str">
        <f>IF(BF114="","",SUMIFS('Detailed Feasibility'!$N$63:$N$82,$C$63:$C$82,'Detailed Feasibility'!$B$149,'Detailed Feasibility'!$F$63:$F$82,'Detailed Feasibility'!BF114)+SUMIFS($O$63:$O$82,$C$63:$C$82,$B$149,$G$63:$G$82,BF114)+SUMIFS($P$63:$P$82,$C$63:$C$82,$B$149,$H$63:$H$82,BF114))</f>
        <v/>
      </c>
      <c r="BG149" s="408" t="str">
        <f>IF(BG114="","",SUMIFS('Detailed Feasibility'!$N$63:$N$82,$C$63:$C$82,'Detailed Feasibility'!$B$149,'Detailed Feasibility'!$F$63:$F$82,'Detailed Feasibility'!BG114)+SUMIFS($O$63:$O$82,$C$63:$C$82,$B$149,$G$63:$G$82,BG114)+SUMIFS($P$63:$P$82,$C$63:$C$82,$B$149,$H$63:$H$82,BG114))</f>
        <v/>
      </c>
      <c r="BH149" s="408" t="str">
        <f>IF(BH114="","",SUMIFS('Detailed Feasibility'!$N$63:$N$82,$C$63:$C$82,'Detailed Feasibility'!$B$149,'Detailed Feasibility'!$F$63:$F$82,'Detailed Feasibility'!BH114)+SUMIFS($O$63:$O$82,$C$63:$C$82,$B$149,$G$63:$G$82,BH114)+SUMIFS($P$63:$P$82,$C$63:$C$82,$B$149,$H$63:$H$82,BH114))</f>
        <v/>
      </c>
      <c r="BI149" s="408" t="str">
        <f>IF(BI114="","",SUMIFS('Detailed Feasibility'!$N$63:$N$82,$C$63:$C$82,'Detailed Feasibility'!$B$149,'Detailed Feasibility'!$F$63:$F$82,'Detailed Feasibility'!BI114)+SUMIFS($O$63:$O$82,$C$63:$C$82,$B$149,$G$63:$G$82,BI114)+SUMIFS($P$63:$P$82,$C$63:$C$82,$B$149,$H$63:$H$82,BI114))</f>
        <v/>
      </c>
      <c r="BJ149" s="408" t="str">
        <f>IF(BJ114="","",SUMIFS('Detailed Feasibility'!$N$63:$N$82,$C$63:$C$82,'Detailed Feasibility'!$B$149,'Detailed Feasibility'!$F$63:$F$82,'Detailed Feasibility'!BJ114)+SUMIFS($O$63:$O$82,$C$63:$C$82,$B$149,$G$63:$G$82,BJ114)+SUMIFS($P$63:$P$82,$C$63:$C$82,$B$149,$H$63:$H$82,BJ114))</f>
        <v/>
      </c>
      <c r="BK149" s="408" t="str">
        <f>IF(BK114="","",SUMIFS('Detailed Feasibility'!$N$63:$N$82,$C$63:$C$82,'Detailed Feasibility'!$B$149,'Detailed Feasibility'!$F$63:$F$82,'Detailed Feasibility'!BK114)+SUMIFS($O$63:$O$82,$C$63:$C$82,$B$149,$G$63:$G$82,BK114)+SUMIFS($P$63:$P$82,$C$63:$C$82,$B$149,$H$63:$H$82,BK114))</f>
        <v/>
      </c>
      <c r="BL149" s="408" t="str">
        <f>IF(BL114="","",SUMIFS('Detailed Feasibility'!$N$63:$N$82,$C$63:$C$82,'Detailed Feasibility'!$B$149,'Detailed Feasibility'!$F$63:$F$82,'Detailed Feasibility'!BL114)+SUMIFS($O$63:$O$82,$C$63:$C$82,$B$149,$G$63:$G$82,BL114)+SUMIFS($P$63:$P$82,$C$63:$C$82,$B$149,$H$63:$H$82,BL114))</f>
        <v/>
      </c>
      <c r="BM149" s="409" t="str">
        <f>IF(BM114="","",SUMIFS('Detailed Feasibility'!$N$63:$N$82,$C$63:$C$82,'Detailed Feasibility'!$B$149,'Detailed Feasibility'!$F$63:$F$82,'Detailed Feasibility'!BM114)+SUMIFS($O$63:$O$82,$C$63:$C$82,$B$149,$G$63:$G$82,BM114)+SUMIFS($P$63:$P$82,$C$63:$C$82,$B$149,$H$63:$H$82,BM114))</f>
        <v/>
      </c>
    </row>
    <row r="150" spans="2:65" s="307" customFormat="1" x14ac:dyDescent="0.45">
      <c r="B150" s="648" t="str">
        <f t="shared" si="33"/>
        <v>6 Bed</v>
      </c>
      <c r="C150" s="407"/>
      <c r="D150" s="345">
        <f>'Detailed Feasibility Inputs'!F58</f>
        <v>0</v>
      </c>
      <c r="E150" s="407">
        <f t="shared" si="34"/>
        <v>1</v>
      </c>
      <c r="F150" s="408">
        <f>SUMIFS('Detailed Feasibility'!$N$63:$N$84,$C$63:$C$84,'Detailed Feasibility'!$B$150,'Detailed Feasibility'!$F$63:$F$84,'Detailed Feasibility'!F114)+SUMIFS($O$63:$O$84,$C$63:$C$84,$B$150,$G$63:$G$84,F114)+SUMIFS($P$63:$P$84,$C$63:$C$84,$B$150,$H$63:$H$84,F114)</f>
        <v>0</v>
      </c>
      <c r="G150" s="408">
        <f>IF(G114="","",SUMIFS('Detailed Feasibility'!$N$63:$N$82,$C$63:$C$82,'Detailed Feasibility'!$B$150,'Detailed Feasibility'!$F$63:$F$82,'Detailed Feasibility'!G114)+SUMIFS($O$63:$O$82,$C$63:$C$82,$B$150,$G$63:$G$82,G114)+SUMIFS($P$63:$P$82,$C$63:$C$82,$B$150,$H$63:$H$82,G114))</f>
        <v>0</v>
      </c>
      <c r="H150" s="408">
        <f>IF(H114="","",SUMIFS('Detailed Feasibility'!$N$63:$N$82,$C$63:$C$82,'Detailed Feasibility'!$B$150,'Detailed Feasibility'!$F$63:$F$82,'Detailed Feasibility'!H114)+SUMIFS($O$63:$O$82,$C$63:$C$82,$B$150,$G$63:$G$82,H114)+SUMIFS($P$63:$P$82,$C$63:$C$82,$B$150,$H$63:$H$82,H114))</f>
        <v>0</v>
      </c>
      <c r="I150" s="408">
        <f>IF(I114="","",SUMIFS('Detailed Feasibility'!$N$63:$N$82,$C$63:$C$82,'Detailed Feasibility'!$B$150,'Detailed Feasibility'!$F$63:$F$82,'Detailed Feasibility'!I114)+SUMIFS($O$63:$O$82,$C$63:$C$82,$B$150,$G$63:$G$82,I114)+SUMIFS($P$63:$P$82,$C$63:$C$82,$B$150,$H$63:$H$82,I114))</f>
        <v>0</v>
      </c>
      <c r="J150" s="408">
        <f>IF(J114="","",SUMIFS('Detailed Feasibility'!$N$63:$N$82,$C$63:$C$82,'Detailed Feasibility'!$B$150,'Detailed Feasibility'!$F$63:$F$82,'Detailed Feasibility'!J114)+SUMIFS($O$63:$O$82,$C$63:$C$82,$B$150,$G$63:$G$82,J114)+SUMIFS($P$63:$P$82,$C$63:$C$82,$B$150,$H$63:$H$82,J114))</f>
        <v>0</v>
      </c>
      <c r="K150" s="408">
        <f>IF(K114="","",SUMIFS('Detailed Feasibility'!$N$63:$N$82,$C$63:$C$82,'Detailed Feasibility'!$B$150,'Detailed Feasibility'!$F$63:$F$82,'Detailed Feasibility'!K114)+SUMIFS($O$63:$O$82,$C$63:$C$82,$B$150,$G$63:$G$82,K114)+SUMIFS($P$63:$P$82,$C$63:$C$82,$B$150,$H$63:$H$82,K114))</f>
        <v>0</v>
      </c>
      <c r="L150" s="408">
        <f>IF(L114="","",SUMIFS('Detailed Feasibility'!$N$63:$N$82,$C$63:$C$82,'Detailed Feasibility'!$B$150,'Detailed Feasibility'!$F$63:$F$82,'Detailed Feasibility'!L114)+SUMIFS($O$63:$O$82,$C$63:$C$82,$B$150,$G$63:$G$82,L114)+SUMIFS($P$63:$P$82,$C$63:$C$82,$B$150,$H$63:$H$82,L114))</f>
        <v>0</v>
      </c>
      <c r="M150" s="408">
        <f>IF(M114="","",SUMIFS('Detailed Feasibility'!$N$63:$N$82,$C$63:$C$82,'Detailed Feasibility'!$B$150,'Detailed Feasibility'!$F$63:$F$82,'Detailed Feasibility'!M114)+SUMIFS($O$63:$O$82,$C$63:$C$82,$B$150,$G$63:$G$82,M114)+SUMIFS($P$63:$P$82,$C$63:$C$82,$B$150,$H$63:$H$82,M114))</f>
        <v>0</v>
      </c>
      <c r="N150" s="408">
        <f>IF(N114="","",SUMIFS('Detailed Feasibility'!$N$63:$N$82,$C$63:$C$82,'Detailed Feasibility'!$B$150,'Detailed Feasibility'!$F$63:$F$82,'Detailed Feasibility'!N114)+SUMIFS($O$63:$O$82,$C$63:$C$82,$B$150,$G$63:$G$82,N114)+SUMIFS($P$63:$P$82,$C$63:$C$82,$B$150,$H$63:$H$82,N114))</f>
        <v>0</v>
      </c>
      <c r="O150" s="408">
        <f>IF(O114="","",SUMIFS('Detailed Feasibility'!$N$63:$N$82,$C$63:$C$82,'Detailed Feasibility'!$B$150,'Detailed Feasibility'!$F$63:$F$82,'Detailed Feasibility'!O114)+SUMIFS($O$63:$O$82,$C$63:$C$82,$B$150,$G$63:$G$82,O114)+SUMIFS($P$63:$P$82,$C$63:$C$82,$B$150,$H$63:$H$82,O114))</f>
        <v>0</v>
      </c>
      <c r="P150" s="408">
        <f>IF(P114="","",SUMIFS('Detailed Feasibility'!$N$63:$N$82,$C$63:$C$82,'Detailed Feasibility'!$B$150,'Detailed Feasibility'!$F$63:$F$82,'Detailed Feasibility'!P114)+SUMIFS($O$63:$O$82,$C$63:$C$82,$B$150,$G$63:$G$82,P114)+SUMIFS($P$63:$P$82,$C$63:$C$82,$B$150,$H$63:$H$82,P114))</f>
        <v>0</v>
      </c>
      <c r="Q150" s="408">
        <f>IF(Q114="","",SUMIFS('Detailed Feasibility'!$N$63:$N$82,$C$63:$C$82,'Detailed Feasibility'!$B$150,'Detailed Feasibility'!$F$63:$F$82,'Detailed Feasibility'!Q114)+SUMIFS($O$63:$O$82,$C$63:$C$82,$B$150,$G$63:$G$82,Q114)+SUMIFS($P$63:$P$82,$C$63:$C$82,$B$150,$H$63:$H$82,Q114))</f>
        <v>0</v>
      </c>
      <c r="R150" s="408">
        <f>IF(R114="","",SUMIFS('Detailed Feasibility'!$N$63:$N$82,$C$63:$C$82,'Detailed Feasibility'!$B$150,'Detailed Feasibility'!$F$63:$F$82,'Detailed Feasibility'!R114)+SUMIFS($O$63:$O$82,$C$63:$C$82,$B$150,$G$63:$G$82,R114)+SUMIFS($P$63:$P$82,$C$63:$C$82,$B$150,$H$63:$H$82,R114))</f>
        <v>0</v>
      </c>
      <c r="S150" s="408">
        <f>IF(S114="","",SUMIFS('Detailed Feasibility'!$N$63:$N$82,$C$63:$C$82,'Detailed Feasibility'!$B$150,'Detailed Feasibility'!$F$63:$F$82,'Detailed Feasibility'!S114)+SUMIFS($O$63:$O$82,$C$63:$C$82,$B$150,$G$63:$G$82,S114)+SUMIFS($P$63:$P$82,$C$63:$C$82,$B$150,$H$63:$H$82,S114))</f>
        <v>0</v>
      </c>
      <c r="T150" s="408">
        <f>IF(T114="","",SUMIFS('Detailed Feasibility'!$N$63:$N$82,$C$63:$C$82,'Detailed Feasibility'!$B$150,'Detailed Feasibility'!$F$63:$F$82,'Detailed Feasibility'!T114)+SUMIFS($O$63:$O$82,$C$63:$C$82,$B$150,$G$63:$G$82,T114)+SUMIFS($P$63:$P$82,$C$63:$C$82,$B$150,$H$63:$H$82,T114))</f>
        <v>0</v>
      </c>
      <c r="U150" s="408">
        <f>IF(U114="","",SUMIFS('Detailed Feasibility'!$N$63:$N$82,$C$63:$C$82,'Detailed Feasibility'!$B$150,'Detailed Feasibility'!$F$63:$F$82,'Detailed Feasibility'!U114)+SUMIFS($O$63:$O$82,$C$63:$C$82,$B$150,$G$63:$G$82,U114)+SUMIFS($P$63:$P$82,$C$63:$C$82,$B$150,$H$63:$H$82,U114))</f>
        <v>0</v>
      </c>
      <c r="V150" s="408">
        <f>IF(V114="","",SUMIFS('Detailed Feasibility'!$N$63:$N$82,$C$63:$C$82,'Detailed Feasibility'!$B$150,'Detailed Feasibility'!$F$63:$F$82,'Detailed Feasibility'!V114)+SUMIFS($O$63:$O$82,$C$63:$C$82,$B$150,$G$63:$G$82,V114)+SUMIFS($P$63:$P$82,$C$63:$C$82,$B$150,$H$63:$H$82,V114))</f>
        <v>0</v>
      </c>
      <c r="W150" s="408">
        <f>IF(W114="","",SUMIFS('Detailed Feasibility'!$N$63:$N$82,$C$63:$C$82,'Detailed Feasibility'!$B$150,'Detailed Feasibility'!$F$63:$F$82,'Detailed Feasibility'!W114)+SUMIFS($O$63:$O$82,$C$63:$C$82,$B$150,$G$63:$G$82,W114)+SUMIFS($P$63:$P$82,$C$63:$C$82,$B$150,$H$63:$H$82,W114))</f>
        <v>0</v>
      </c>
      <c r="X150" s="408">
        <f>IF(X114="","",SUMIFS('Detailed Feasibility'!$N$63:$N$82,$C$63:$C$82,'Detailed Feasibility'!$B$150,'Detailed Feasibility'!$F$63:$F$82,'Detailed Feasibility'!X114)+SUMIFS($O$63:$O$82,$C$63:$C$82,$B$150,$G$63:$G$82,X114)+SUMIFS($P$63:$P$82,$C$63:$C$82,$B$150,$H$63:$H$82,X114))</f>
        <v>0</v>
      </c>
      <c r="Y150" s="408">
        <f>IF(Y114="","",SUMIFS('Detailed Feasibility'!$N$63:$N$82,$C$63:$C$82,'Detailed Feasibility'!$B$150,'Detailed Feasibility'!$F$63:$F$82,'Detailed Feasibility'!Y114)+SUMIFS($O$63:$O$82,$C$63:$C$82,$B$150,$G$63:$G$82,Y114)+SUMIFS($P$63:$P$82,$C$63:$C$82,$B$150,$H$63:$H$82,Y114))</f>
        <v>0</v>
      </c>
      <c r="Z150" s="408">
        <f>IF(Z114="","",SUMIFS('Detailed Feasibility'!$N$63:$N$82,$C$63:$C$82,'Detailed Feasibility'!$B$150,'Detailed Feasibility'!$F$63:$F$82,'Detailed Feasibility'!Z114)+SUMIFS($O$63:$O$82,$C$63:$C$82,$B$150,$G$63:$G$82,Z114)+SUMIFS($P$63:$P$82,$C$63:$C$82,$B$150,$H$63:$H$82,Z114))</f>
        <v>0</v>
      </c>
      <c r="AA150" s="408">
        <f>IF(AA114="","",SUMIFS('Detailed Feasibility'!$N$63:$N$82,$C$63:$C$82,'Detailed Feasibility'!$B$150,'Detailed Feasibility'!$F$63:$F$82,'Detailed Feasibility'!AA114)+SUMIFS($O$63:$O$82,$C$63:$C$82,$B$150,$G$63:$G$82,AA114)+SUMIFS($P$63:$P$82,$C$63:$C$82,$B$150,$H$63:$H$82,AA114))</f>
        <v>0</v>
      </c>
      <c r="AB150" s="408">
        <f>IF(AB114="","",SUMIFS('Detailed Feasibility'!$N$63:$N$82,$C$63:$C$82,'Detailed Feasibility'!$B$150,'Detailed Feasibility'!$F$63:$F$82,'Detailed Feasibility'!AB114)+SUMIFS($O$63:$O$82,$C$63:$C$82,$B$150,$G$63:$G$82,AB114)+SUMIFS($P$63:$P$82,$C$63:$C$82,$B$150,$H$63:$H$82,AB114))</f>
        <v>0</v>
      </c>
      <c r="AC150" s="408">
        <f>IF(AC114="","",SUMIFS('Detailed Feasibility'!$N$63:$N$82,$C$63:$C$82,'Detailed Feasibility'!$B$150,'Detailed Feasibility'!$F$63:$F$82,'Detailed Feasibility'!AC114)+SUMIFS($O$63:$O$82,$C$63:$C$82,$B$150,$G$63:$G$82,AC114)+SUMIFS($P$63:$P$82,$C$63:$C$82,$B$150,$H$63:$H$82,AC114))</f>
        <v>0</v>
      </c>
      <c r="AD150" s="408">
        <f>IF(AD114="","",SUMIFS('Detailed Feasibility'!$N$63:$N$82,$C$63:$C$82,'Detailed Feasibility'!$B$150,'Detailed Feasibility'!$F$63:$F$82,'Detailed Feasibility'!AD114)+SUMIFS($O$63:$O$82,$C$63:$C$82,$B$150,$G$63:$G$82,AD114)+SUMIFS($P$63:$P$82,$C$63:$C$82,$B$150,$H$63:$H$82,AD114))</f>
        <v>0</v>
      </c>
      <c r="AE150" s="408">
        <f>IF(AE114="","",SUMIFS('Detailed Feasibility'!$N$63:$N$82,$C$63:$C$82,'Detailed Feasibility'!$B$150,'Detailed Feasibility'!$F$63:$F$82,'Detailed Feasibility'!AE114)+SUMIFS($O$63:$O$82,$C$63:$C$82,$B$150,$G$63:$G$82,AE114)+SUMIFS($P$63:$P$82,$C$63:$C$82,$B$150,$H$63:$H$82,AE114))</f>
        <v>0</v>
      </c>
      <c r="AF150" s="408">
        <f>IF(AF114="","",SUMIFS('Detailed Feasibility'!$N$63:$N$82,$C$63:$C$82,'Detailed Feasibility'!$B$150,'Detailed Feasibility'!$F$63:$F$82,'Detailed Feasibility'!AF114)+SUMIFS($O$63:$O$82,$C$63:$C$82,$B$150,$G$63:$G$82,AF114)+SUMIFS($P$63:$P$82,$C$63:$C$82,$B$150,$H$63:$H$82,AF114))</f>
        <v>0</v>
      </c>
      <c r="AG150" s="408">
        <f>IF(AG114="","",SUMIFS('Detailed Feasibility'!$N$63:$N$82,$C$63:$C$82,'Detailed Feasibility'!$B$150,'Detailed Feasibility'!$F$63:$F$82,'Detailed Feasibility'!AG114)+SUMIFS($O$63:$O$82,$C$63:$C$82,$B$150,$G$63:$G$82,AG114)+SUMIFS($P$63:$P$82,$C$63:$C$82,$B$150,$H$63:$H$82,AG114))</f>
        <v>0</v>
      </c>
      <c r="AH150" s="408">
        <f>IF(AH114="","",SUMIFS('Detailed Feasibility'!$N$63:$N$82,$C$63:$C$82,'Detailed Feasibility'!$B$150,'Detailed Feasibility'!$F$63:$F$82,'Detailed Feasibility'!AH114)+SUMIFS($O$63:$O$82,$C$63:$C$82,$B$150,$G$63:$G$82,AH114)+SUMIFS($P$63:$P$82,$C$63:$C$82,$B$150,$H$63:$H$82,AH114))</f>
        <v>0</v>
      </c>
      <c r="AI150" s="408">
        <f>IF(AI114="","",SUMIFS('Detailed Feasibility'!$N$63:$N$82,$C$63:$C$82,'Detailed Feasibility'!$B$150,'Detailed Feasibility'!$F$63:$F$82,'Detailed Feasibility'!AI114)+SUMIFS($O$63:$O$82,$C$63:$C$82,$B$150,$G$63:$G$82,AI114)+SUMIFS($P$63:$P$82,$C$63:$C$82,$B$150,$H$63:$H$82,AI114))</f>
        <v>0</v>
      </c>
      <c r="AJ150" s="408">
        <f>IF(AJ114="","",SUMIFS('Detailed Feasibility'!$N$63:$N$82,$C$63:$C$82,'Detailed Feasibility'!$B$150,'Detailed Feasibility'!$F$63:$F$82,'Detailed Feasibility'!AJ114)+SUMIFS($O$63:$O$82,$C$63:$C$82,$B$150,$G$63:$G$82,AJ114)+SUMIFS($P$63:$P$82,$C$63:$C$82,$B$150,$H$63:$H$82,AJ114))</f>
        <v>0</v>
      </c>
      <c r="AK150" s="408">
        <f>IF(AK114="","",SUMIFS('Detailed Feasibility'!$N$63:$N$82,$C$63:$C$82,'Detailed Feasibility'!$B$150,'Detailed Feasibility'!$F$63:$F$82,'Detailed Feasibility'!AK114)+SUMIFS($O$63:$O$82,$C$63:$C$82,$B$150,$G$63:$G$82,AK114)+SUMIFS($P$63:$P$82,$C$63:$C$82,$B$150,$H$63:$H$82,AK114))</f>
        <v>0</v>
      </c>
      <c r="AL150" s="408">
        <f>IF(AL114="","",SUMIFS('Detailed Feasibility'!$N$63:$N$82,$C$63:$C$82,'Detailed Feasibility'!$B$150,'Detailed Feasibility'!$F$63:$F$82,'Detailed Feasibility'!AL114)+SUMIFS($O$63:$O$82,$C$63:$C$82,$B$150,$G$63:$G$82,AL114)+SUMIFS($P$63:$P$82,$C$63:$C$82,$B$150,$H$63:$H$82,AL114))</f>
        <v>0</v>
      </c>
      <c r="AM150" s="408">
        <f>IF(AM114="","",SUMIFS('Detailed Feasibility'!$N$63:$N$82,$C$63:$C$82,'Detailed Feasibility'!$B$150,'Detailed Feasibility'!$F$63:$F$82,'Detailed Feasibility'!AM114)+SUMIFS($O$63:$O$82,$C$63:$C$82,$B$150,$G$63:$G$82,AM114)+SUMIFS($P$63:$P$82,$C$63:$C$82,$B$150,$H$63:$H$82,AM114))</f>
        <v>0</v>
      </c>
      <c r="AN150" s="408">
        <f>IF(AN114="","",SUMIFS('Detailed Feasibility'!$N$63:$N$82,$C$63:$C$82,'Detailed Feasibility'!$B$150,'Detailed Feasibility'!$F$63:$F$82,'Detailed Feasibility'!AN114)+SUMIFS($O$63:$O$82,$C$63:$C$82,$B$150,$G$63:$G$82,AN114)+SUMIFS($P$63:$P$82,$C$63:$C$82,$B$150,$H$63:$H$82,AN114))</f>
        <v>0</v>
      </c>
      <c r="AO150" s="408">
        <f>IF(AO114="","",SUMIFS('Detailed Feasibility'!$N$63:$N$82,$C$63:$C$82,'Detailed Feasibility'!$B$150,'Detailed Feasibility'!$F$63:$F$82,'Detailed Feasibility'!AO114)+SUMIFS($O$63:$O$82,$C$63:$C$82,$B$150,$G$63:$G$82,AO114)+SUMIFS($P$63:$P$82,$C$63:$C$82,$B$150,$H$63:$H$82,AO114))</f>
        <v>0</v>
      </c>
      <c r="AP150" s="408">
        <f>IF(AP114="","",SUMIFS('Detailed Feasibility'!$N$63:$N$82,$C$63:$C$82,'Detailed Feasibility'!$B$150,'Detailed Feasibility'!$F$63:$F$82,'Detailed Feasibility'!AP114)+SUMIFS($O$63:$O$82,$C$63:$C$82,$B$150,$G$63:$G$82,AP114)+SUMIFS($P$63:$P$82,$C$63:$C$82,$B$150,$H$63:$H$82,AP114))</f>
        <v>0</v>
      </c>
      <c r="AQ150" s="408" t="str">
        <f>IF(AQ114="","",SUMIFS('Detailed Feasibility'!$N$63:$N$82,$C$63:$C$82,'Detailed Feasibility'!$B$150,'Detailed Feasibility'!$F$63:$F$82,'Detailed Feasibility'!AQ114)+SUMIFS($O$63:$O$82,$C$63:$C$82,$B$150,$G$63:$G$82,AQ114)+SUMIFS($P$63:$P$82,$C$63:$C$82,$B$150,$H$63:$H$82,AQ114))</f>
        <v/>
      </c>
      <c r="AR150" s="408" t="str">
        <f>IF(AR114="","",SUMIFS('Detailed Feasibility'!$N$63:$N$82,$C$63:$C$82,'Detailed Feasibility'!$B$150,'Detailed Feasibility'!$F$63:$F$82,'Detailed Feasibility'!AR114)+SUMIFS($O$63:$O$82,$C$63:$C$82,$B$150,$G$63:$G$82,AR114)+SUMIFS($P$63:$P$82,$C$63:$C$82,$B$150,$H$63:$H$82,AR114))</f>
        <v/>
      </c>
      <c r="AS150" s="408" t="str">
        <f>IF(AS114="","",SUMIFS('Detailed Feasibility'!$N$63:$N$82,$C$63:$C$82,'Detailed Feasibility'!$B$150,'Detailed Feasibility'!$F$63:$F$82,'Detailed Feasibility'!AS114)+SUMIFS($O$63:$O$82,$C$63:$C$82,$B$150,$G$63:$G$82,AS114)+SUMIFS($P$63:$P$82,$C$63:$C$82,$B$150,$H$63:$H$82,AS114))</f>
        <v/>
      </c>
      <c r="AT150" s="408" t="str">
        <f>IF(AT114="","",SUMIFS('Detailed Feasibility'!$N$63:$N$82,$C$63:$C$82,'Detailed Feasibility'!$B$150,'Detailed Feasibility'!$F$63:$F$82,'Detailed Feasibility'!AT114)+SUMIFS($O$63:$O$82,$C$63:$C$82,$B$150,$G$63:$G$82,AT114)+SUMIFS($P$63:$P$82,$C$63:$C$82,$B$150,$H$63:$H$82,AT114))</f>
        <v/>
      </c>
      <c r="AU150" s="408" t="str">
        <f>IF(AU114="","",SUMIFS('Detailed Feasibility'!$N$63:$N$82,$C$63:$C$82,'Detailed Feasibility'!$B$150,'Detailed Feasibility'!$F$63:$F$82,'Detailed Feasibility'!AU114)+SUMIFS($O$63:$O$82,$C$63:$C$82,$B$150,$G$63:$G$82,AU114)+SUMIFS($P$63:$P$82,$C$63:$C$82,$B$150,$H$63:$H$82,AU114))</f>
        <v/>
      </c>
      <c r="AV150" s="408" t="str">
        <f>IF(AV114="","",SUMIFS('Detailed Feasibility'!$N$63:$N$82,$C$63:$C$82,'Detailed Feasibility'!$B$150,'Detailed Feasibility'!$F$63:$F$82,'Detailed Feasibility'!AV114)+SUMIFS($O$63:$O$82,$C$63:$C$82,$B$150,$G$63:$G$82,AV114)+SUMIFS($P$63:$P$82,$C$63:$C$82,$B$150,$H$63:$H$82,AV114))</f>
        <v/>
      </c>
      <c r="AW150" s="408" t="str">
        <f>IF(AW114="","",SUMIFS('Detailed Feasibility'!$N$63:$N$82,$C$63:$C$82,'Detailed Feasibility'!$B$150,'Detailed Feasibility'!$F$63:$F$82,'Detailed Feasibility'!AW114)+SUMIFS($O$63:$O$82,$C$63:$C$82,$B$150,$G$63:$G$82,AW114)+SUMIFS($P$63:$P$82,$C$63:$C$82,$B$150,$H$63:$H$82,AW114))</f>
        <v/>
      </c>
      <c r="AX150" s="408" t="str">
        <f>IF(AX114="","",SUMIFS('Detailed Feasibility'!$N$63:$N$82,$C$63:$C$82,'Detailed Feasibility'!$B$150,'Detailed Feasibility'!$F$63:$F$82,'Detailed Feasibility'!AX114)+SUMIFS($O$63:$O$82,$C$63:$C$82,$B$150,$G$63:$G$82,AX114)+SUMIFS($P$63:$P$82,$C$63:$C$82,$B$150,$H$63:$H$82,AX114))</f>
        <v/>
      </c>
      <c r="AY150" s="408" t="str">
        <f>IF(AY114="","",SUMIFS('Detailed Feasibility'!$N$63:$N$82,$C$63:$C$82,'Detailed Feasibility'!$B$150,'Detailed Feasibility'!$F$63:$F$82,'Detailed Feasibility'!AY114)+SUMIFS($O$63:$O$82,$C$63:$C$82,$B$150,$G$63:$G$82,AY114)+SUMIFS($P$63:$P$82,$C$63:$C$82,$B$150,$H$63:$H$82,AY114))</f>
        <v/>
      </c>
      <c r="AZ150" s="408" t="str">
        <f>IF(AZ114="","",SUMIFS('Detailed Feasibility'!$N$63:$N$82,$C$63:$C$82,'Detailed Feasibility'!$B$150,'Detailed Feasibility'!$F$63:$F$82,'Detailed Feasibility'!AZ114)+SUMIFS($O$63:$O$82,$C$63:$C$82,$B$150,$G$63:$G$82,AZ114)+SUMIFS($P$63:$P$82,$C$63:$C$82,$B$150,$H$63:$H$82,AZ114))</f>
        <v/>
      </c>
      <c r="BA150" s="408" t="str">
        <f>IF(BA114="","",SUMIFS('Detailed Feasibility'!$N$63:$N$82,$C$63:$C$82,'Detailed Feasibility'!$B$150,'Detailed Feasibility'!$F$63:$F$82,'Detailed Feasibility'!BA114)+SUMIFS($O$63:$O$82,$C$63:$C$82,$B$150,$G$63:$G$82,BA114)+SUMIFS($P$63:$P$82,$C$63:$C$82,$B$150,$H$63:$H$82,BA114))</f>
        <v/>
      </c>
      <c r="BB150" s="408" t="str">
        <f>IF(BB114="","",SUMIFS('Detailed Feasibility'!$N$63:$N$82,$C$63:$C$82,'Detailed Feasibility'!$B$150,'Detailed Feasibility'!$F$63:$F$82,'Detailed Feasibility'!BB114)+SUMIFS($O$63:$O$82,$C$63:$C$82,$B$150,$G$63:$G$82,BB114)+SUMIFS($P$63:$P$82,$C$63:$C$82,$B$150,$H$63:$H$82,BB114))</f>
        <v/>
      </c>
      <c r="BC150" s="408" t="str">
        <f>IF(BC114="","",SUMIFS('Detailed Feasibility'!$N$63:$N$82,$C$63:$C$82,'Detailed Feasibility'!$B$150,'Detailed Feasibility'!$F$63:$F$82,'Detailed Feasibility'!BC114)+SUMIFS($O$63:$O$82,$C$63:$C$82,$B$150,$G$63:$G$82,BC114)+SUMIFS($P$63:$P$82,$C$63:$C$82,$B$150,$H$63:$H$82,BC114))</f>
        <v/>
      </c>
      <c r="BD150" s="408" t="str">
        <f>IF(BD114="","",SUMIFS('Detailed Feasibility'!$N$63:$N$82,$C$63:$C$82,'Detailed Feasibility'!$B$150,'Detailed Feasibility'!$F$63:$F$82,'Detailed Feasibility'!BD114)+SUMIFS($O$63:$O$82,$C$63:$C$82,$B$150,$G$63:$G$82,BD114)+SUMIFS($P$63:$P$82,$C$63:$C$82,$B$150,$H$63:$H$82,BD114))</f>
        <v/>
      </c>
      <c r="BE150" s="408" t="str">
        <f>IF(BE114="","",SUMIFS('Detailed Feasibility'!$N$63:$N$82,$C$63:$C$82,'Detailed Feasibility'!$B$150,'Detailed Feasibility'!$F$63:$F$82,'Detailed Feasibility'!BE114)+SUMIFS($O$63:$O$82,$C$63:$C$82,$B$150,$G$63:$G$82,BE114)+SUMIFS($P$63:$P$82,$C$63:$C$82,$B$150,$H$63:$H$82,BE114))</f>
        <v/>
      </c>
      <c r="BF150" s="408" t="str">
        <f>IF(BF114="","",SUMIFS('Detailed Feasibility'!$N$63:$N$82,$C$63:$C$82,'Detailed Feasibility'!$B$150,'Detailed Feasibility'!$F$63:$F$82,'Detailed Feasibility'!BF114)+SUMIFS($O$63:$O$82,$C$63:$C$82,$B$150,$G$63:$G$82,BF114)+SUMIFS($P$63:$P$82,$C$63:$C$82,$B$150,$H$63:$H$82,BF114))</f>
        <v/>
      </c>
      <c r="BG150" s="408" t="str">
        <f>IF(BG114="","",SUMIFS('Detailed Feasibility'!$N$63:$N$82,$C$63:$C$82,'Detailed Feasibility'!$B$150,'Detailed Feasibility'!$F$63:$F$82,'Detailed Feasibility'!BG114)+SUMIFS($O$63:$O$82,$C$63:$C$82,$B$150,$G$63:$G$82,BG114)+SUMIFS($P$63:$P$82,$C$63:$C$82,$B$150,$H$63:$H$82,BG114))</f>
        <v/>
      </c>
      <c r="BH150" s="408" t="str">
        <f>IF(BH114="","",SUMIFS('Detailed Feasibility'!$N$63:$N$82,$C$63:$C$82,'Detailed Feasibility'!$B$150,'Detailed Feasibility'!$F$63:$F$82,'Detailed Feasibility'!BH114)+SUMIFS($O$63:$O$82,$C$63:$C$82,$B$150,$G$63:$G$82,BH114)+SUMIFS($P$63:$P$82,$C$63:$C$82,$B$150,$H$63:$H$82,BH114))</f>
        <v/>
      </c>
      <c r="BI150" s="408" t="str">
        <f>IF(BI114="","",SUMIFS('Detailed Feasibility'!$N$63:$N$82,$C$63:$C$82,'Detailed Feasibility'!$B$150,'Detailed Feasibility'!$F$63:$F$82,'Detailed Feasibility'!BI114)+SUMIFS($O$63:$O$82,$C$63:$C$82,$B$150,$G$63:$G$82,BI114)+SUMIFS($P$63:$P$82,$C$63:$C$82,$B$150,$H$63:$H$82,BI114))</f>
        <v/>
      </c>
      <c r="BJ150" s="408" t="str">
        <f>IF(BJ114="","",SUMIFS('Detailed Feasibility'!$N$63:$N$82,$C$63:$C$82,'Detailed Feasibility'!$B$150,'Detailed Feasibility'!$F$63:$F$82,'Detailed Feasibility'!BJ114)+SUMIFS($O$63:$O$82,$C$63:$C$82,$B$150,$G$63:$G$82,BJ114)+SUMIFS($P$63:$P$82,$C$63:$C$82,$B$150,$H$63:$H$82,BJ114))</f>
        <v/>
      </c>
      <c r="BK150" s="408" t="str">
        <f>IF(BK114="","",SUMIFS('Detailed Feasibility'!$N$63:$N$82,$C$63:$C$82,'Detailed Feasibility'!$B$150,'Detailed Feasibility'!$F$63:$F$82,'Detailed Feasibility'!BK114)+SUMIFS($O$63:$O$82,$C$63:$C$82,$B$150,$G$63:$G$82,BK114)+SUMIFS($P$63:$P$82,$C$63:$C$82,$B$150,$H$63:$H$82,BK114))</f>
        <v/>
      </c>
      <c r="BL150" s="408" t="str">
        <f>IF(BL114="","",SUMIFS('Detailed Feasibility'!$N$63:$N$82,$C$63:$C$82,'Detailed Feasibility'!$B$150,'Detailed Feasibility'!$F$63:$F$82,'Detailed Feasibility'!BL114)+SUMIFS($O$63:$O$82,$C$63:$C$82,$B$150,$G$63:$G$82,BL114)+SUMIFS($P$63:$P$82,$C$63:$C$82,$B$150,$H$63:$H$82,BL114))</f>
        <v/>
      </c>
      <c r="BM150" s="409" t="str">
        <f>IF(BM114="","",SUMIFS('Detailed Feasibility'!$N$63:$N$82,$C$63:$C$82,'Detailed Feasibility'!$B$150,'Detailed Feasibility'!$F$63:$F$82,'Detailed Feasibility'!BM114)+SUMIFS($O$63:$O$82,$C$63:$C$82,$B$150,$G$63:$G$82,BM114)+SUMIFS($P$63:$P$82,$C$63:$C$82,$B$150,$H$63:$H$82,BM114))</f>
        <v/>
      </c>
    </row>
    <row r="151" spans="2:65" s="307" customFormat="1" x14ac:dyDescent="0.45">
      <c r="B151" s="648" t="s">
        <v>37</v>
      </c>
      <c r="C151" s="407"/>
      <c r="D151" s="345">
        <f>'Detailed Feasibility Inputs'!F59</f>
        <v>763500</v>
      </c>
      <c r="E151" s="407">
        <f>IF(SUM(F151:BM151)=D151,1,0)</f>
        <v>1</v>
      </c>
      <c r="F151" s="408">
        <f>SUM(F145:F150)*'Detailed Feasibility Inputs'!$E$59</f>
        <v>0</v>
      </c>
      <c r="G151" s="408">
        <f>IF(G114="","",SUM(G145:G150)*'Detailed Feasibility Inputs'!$E$59)</f>
        <v>0</v>
      </c>
      <c r="H151" s="408">
        <f>IF(H114="","",SUM(H145:H150)*'Detailed Feasibility Inputs'!$E$59)</f>
        <v>0</v>
      </c>
      <c r="I151" s="408">
        <f>IF(I114="","",SUM(I145:I150)*'Detailed Feasibility Inputs'!$E$59)</f>
        <v>0</v>
      </c>
      <c r="J151" s="408">
        <f>IF(J114="","",SUM(J145:J150)*'Detailed Feasibility Inputs'!$E$59)</f>
        <v>0</v>
      </c>
      <c r="K151" s="408">
        <f>IF(K114="","",SUM(K145:K150)*'Detailed Feasibility Inputs'!$E$59)</f>
        <v>0</v>
      </c>
      <c r="L151" s="408">
        <f>IF(L114="","",SUM(L145:L150)*'Detailed Feasibility Inputs'!$E$59)</f>
        <v>0</v>
      </c>
      <c r="M151" s="408">
        <f>IF(M114="","",SUM(M145:M150)*'Detailed Feasibility Inputs'!$E$59)</f>
        <v>0</v>
      </c>
      <c r="N151" s="408">
        <f>IF(N114="","",SUM(N145:N150)*'Detailed Feasibility Inputs'!$E$59)</f>
        <v>0</v>
      </c>
      <c r="O151" s="408">
        <f>IF(O114="","",SUM(O145:O150)*'Detailed Feasibility Inputs'!$E$59)</f>
        <v>0</v>
      </c>
      <c r="P151" s="408">
        <f>IF(P114="","",SUM(P145:P150)*'Detailed Feasibility Inputs'!$E$59)</f>
        <v>0</v>
      </c>
      <c r="Q151" s="408">
        <f>IF(Q114="","",SUM(Q145:Q150)*'Detailed Feasibility Inputs'!$E$59)</f>
        <v>0</v>
      </c>
      <c r="R151" s="408">
        <f>IF(R114="","",SUM(R145:R150)*'Detailed Feasibility Inputs'!$E$59)</f>
        <v>0</v>
      </c>
      <c r="S151" s="408">
        <f>IF(S114="","",SUM(S145:S150)*'Detailed Feasibility Inputs'!$E$59)</f>
        <v>55999.999999999985</v>
      </c>
      <c r="T151" s="408">
        <f>IF(T114="","",SUM(T145:T150)*'Detailed Feasibility Inputs'!$E$59)</f>
        <v>0</v>
      </c>
      <c r="U151" s="408">
        <f>IF(U114="","",SUM(U145:U150)*'Detailed Feasibility Inputs'!$E$59)</f>
        <v>0</v>
      </c>
      <c r="V151" s="408">
        <f>IF(V114="","",SUM(V145:V150)*'Detailed Feasibility Inputs'!$E$59)</f>
        <v>55999.999999999985</v>
      </c>
      <c r="W151" s="408">
        <f>IF(W114="","",SUM(W145:W150)*'Detailed Feasibility Inputs'!$E$59)</f>
        <v>55999.999999999985</v>
      </c>
      <c r="X151" s="408">
        <f>IF(X114="","",SUM(X145:X150)*'Detailed Feasibility Inputs'!$E$59)</f>
        <v>0</v>
      </c>
      <c r="Y151" s="408">
        <f>IF(Y114="","",SUM(Y145:Y150)*'Detailed Feasibility Inputs'!$E$59)</f>
        <v>0</v>
      </c>
      <c r="Z151" s="408">
        <f>IF(Z114="","",SUM(Z145:Z150)*'Detailed Feasibility Inputs'!$E$59)</f>
        <v>72500</v>
      </c>
      <c r="AA151" s="408">
        <f>IF(AA114="","",SUM(AA145:AA150)*'Detailed Feasibility Inputs'!$E$59)</f>
        <v>0</v>
      </c>
      <c r="AB151" s="408">
        <f>IF(AB114="","",SUM(AB145:AB150)*'Detailed Feasibility Inputs'!$E$59)</f>
        <v>0</v>
      </c>
      <c r="AC151" s="408">
        <f>IF(AC114="","",SUM(AC145:AC150)*'Detailed Feasibility Inputs'!$E$59)</f>
        <v>198499.99999999997</v>
      </c>
      <c r="AD151" s="408">
        <f>IF(AD114="","",SUM(AD145:AD150)*'Detailed Feasibility Inputs'!$E$59)</f>
        <v>72500</v>
      </c>
      <c r="AE151" s="408">
        <f>IF(AE114="","",SUM(AE145:AE150)*'Detailed Feasibility Inputs'!$E$59)</f>
        <v>0</v>
      </c>
      <c r="AF151" s="408">
        <f>IF(AF114="","",SUM(AF145:AF150)*'Detailed Feasibility Inputs'!$E$59)</f>
        <v>126000</v>
      </c>
      <c r="AG151" s="408">
        <f>IF(AG114="","",SUM(AG145:AG150)*'Detailed Feasibility Inputs'!$E$59)</f>
        <v>126000</v>
      </c>
      <c r="AH151" s="408">
        <f>IF(AH114="","",SUM(AH145:AH150)*'Detailed Feasibility Inputs'!$E$59)</f>
        <v>0</v>
      </c>
      <c r="AI151" s="408">
        <f>IF(AI114="","",SUM(AI145:AI150)*'Detailed Feasibility Inputs'!$E$59)</f>
        <v>0</v>
      </c>
      <c r="AJ151" s="408">
        <f>IF(AJ114="","",SUM(AJ145:AJ150)*'Detailed Feasibility Inputs'!$E$59)</f>
        <v>0</v>
      </c>
      <c r="AK151" s="408">
        <f>IF(AK114="","",SUM(AK145:AK150)*'Detailed Feasibility Inputs'!$E$59)</f>
        <v>0</v>
      </c>
      <c r="AL151" s="408">
        <f>IF(AL114="","",SUM(AL145:AL150)*'Detailed Feasibility Inputs'!$E$59)</f>
        <v>0</v>
      </c>
      <c r="AM151" s="408">
        <f>IF(AM114="","",SUM(AM145:AM150)*'Detailed Feasibility Inputs'!$E$59)</f>
        <v>0</v>
      </c>
      <c r="AN151" s="408">
        <f>IF(AN114="","",SUM(AN145:AN150)*'Detailed Feasibility Inputs'!$E$59)</f>
        <v>0</v>
      </c>
      <c r="AO151" s="408">
        <f>IF(AO114="","",SUM(AO145:AO150)*'Detailed Feasibility Inputs'!$E$59)</f>
        <v>0</v>
      </c>
      <c r="AP151" s="408">
        <f>IF(AP114="","",SUM(AP145:AP150)*'Detailed Feasibility Inputs'!$E$59)</f>
        <v>0</v>
      </c>
      <c r="AQ151" s="408" t="str">
        <f>IF(AQ114="","",SUM(AQ145:AQ150)*'Detailed Feasibility Inputs'!$E$59)</f>
        <v/>
      </c>
      <c r="AR151" s="408" t="str">
        <f>IF(AR114="","",SUM(AR145:AR150)*'Detailed Feasibility Inputs'!$E$59)</f>
        <v/>
      </c>
      <c r="AS151" s="408" t="str">
        <f>IF(AS114="","",SUM(AS145:AS150)*'Detailed Feasibility Inputs'!$E$59)</f>
        <v/>
      </c>
      <c r="AT151" s="408" t="str">
        <f>IF(AT114="","",SUM(AT145:AT150)*'Detailed Feasibility Inputs'!$E$59)</f>
        <v/>
      </c>
      <c r="AU151" s="408" t="str">
        <f>IF(AU114="","",SUM(AU145:AU150)*'Detailed Feasibility Inputs'!$E$59)</f>
        <v/>
      </c>
      <c r="AV151" s="408" t="str">
        <f>IF(AV114="","",SUM(AV145:AV150)*'Detailed Feasibility Inputs'!$E$59)</f>
        <v/>
      </c>
      <c r="AW151" s="408" t="str">
        <f>IF(AW114="","",SUM(AW145:AW150)*'Detailed Feasibility Inputs'!$E$59)</f>
        <v/>
      </c>
      <c r="AX151" s="408" t="str">
        <f>IF(AX114="","",SUM(AX145:AX150)*'Detailed Feasibility Inputs'!$E$59)</f>
        <v/>
      </c>
      <c r="AY151" s="408" t="str">
        <f>IF(AY114="","",SUM(AY145:AY150)*'Detailed Feasibility Inputs'!$E$59)</f>
        <v/>
      </c>
      <c r="AZ151" s="408" t="str">
        <f>IF(AZ114="","",SUM(AZ145:AZ150)*'Detailed Feasibility Inputs'!$E$59)</f>
        <v/>
      </c>
      <c r="BA151" s="408" t="str">
        <f>IF(BA114="","",SUM(BA145:BA150)*'Detailed Feasibility Inputs'!$E$59)</f>
        <v/>
      </c>
      <c r="BB151" s="408" t="str">
        <f>IF(BB114="","",SUM(BB145:BB150)*'Detailed Feasibility Inputs'!$E$59)</f>
        <v/>
      </c>
      <c r="BC151" s="408" t="str">
        <f>IF(BC114="","",SUM(BC145:BC150)*'Detailed Feasibility Inputs'!$E$59)</f>
        <v/>
      </c>
      <c r="BD151" s="408" t="str">
        <f>IF(BD114="","",SUM(BD145:BD150)*'Detailed Feasibility Inputs'!$E$59)</f>
        <v/>
      </c>
      <c r="BE151" s="408" t="str">
        <f>IF(BE114="","",SUM(BE145:BE150)*'Detailed Feasibility Inputs'!$E$59)</f>
        <v/>
      </c>
      <c r="BF151" s="408" t="str">
        <f>IF(BF114="","",SUM(BF145:BF150)*'Detailed Feasibility Inputs'!$E$59)</f>
        <v/>
      </c>
      <c r="BG151" s="408" t="str">
        <f>IF(BG114="","",SUM(BG145:BG150)*'Detailed Feasibility Inputs'!$E$59)</f>
        <v/>
      </c>
      <c r="BH151" s="408" t="str">
        <f>IF(BH114="","",SUM(BH145:BH150)*'Detailed Feasibility Inputs'!$E$59)</f>
        <v/>
      </c>
      <c r="BI151" s="408" t="str">
        <f>IF(BI114="","",SUM(BI145:BI150)*'Detailed Feasibility Inputs'!$E$59)</f>
        <v/>
      </c>
      <c r="BJ151" s="408" t="str">
        <f>IF(BJ114="","",SUM(BJ145:BJ150)*'Detailed Feasibility Inputs'!$E$59)</f>
        <v/>
      </c>
      <c r="BK151" s="408" t="str">
        <f>IF(BK114="","",SUM(BK145:BK150)*'Detailed Feasibility Inputs'!$E$59)</f>
        <v/>
      </c>
      <c r="BL151" s="408" t="str">
        <f>IF(BL114="","",SUM(BL145:BL150)*'Detailed Feasibility Inputs'!$E$59)</f>
        <v/>
      </c>
      <c r="BM151" s="409" t="str">
        <f>IF(BM114="","",SUM(BM145:BM150)*'Detailed Feasibility Inputs'!$E$59)</f>
        <v/>
      </c>
    </row>
    <row r="152" spans="2:65" s="307" customFormat="1" x14ac:dyDescent="0.45">
      <c r="B152" s="168" t="s">
        <v>287</v>
      </c>
      <c r="C152" s="414"/>
      <c r="D152" s="627"/>
      <c r="E152" s="414"/>
      <c r="F152" s="411">
        <f>IF(F$114="","",-SUM(F140:F151))</f>
        <v>-1010000</v>
      </c>
      <c r="G152" s="411">
        <f>IF(G$114="","",-SUM(G$140:G$151))</f>
        <v>0</v>
      </c>
      <c r="H152" s="411">
        <f>IF(H$114="","",-SUM(H$140:H$151))</f>
        <v>0</v>
      </c>
      <c r="I152" s="411">
        <f t="shared" ref="I152:BM152" si="35">IF(I$114="","",-SUM(I$140:I$151))</f>
        <v>0</v>
      </c>
      <c r="J152" s="411">
        <f t="shared" si="35"/>
        <v>-55370</v>
      </c>
      <c r="K152" s="411">
        <f t="shared" si="35"/>
        <v>-84941.42857142858</v>
      </c>
      <c r="L152" s="411">
        <f t="shared" si="35"/>
        <v>-84941.42857142858</v>
      </c>
      <c r="M152" s="411">
        <f t="shared" si="35"/>
        <v>-84941.42857142858</v>
      </c>
      <c r="N152" s="411">
        <f t="shared" si="35"/>
        <v>-84941.42857142858</v>
      </c>
      <c r="O152" s="411">
        <f t="shared" si="35"/>
        <v>-84941.42857142858</v>
      </c>
      <c r="P152" s="411">
        <f t="shared" si="35"/>
        <v>-84941.42857142858</v>
      </c>
      <c r="Q152" s="411">
        <f t="shared" si="35"/>
        <v>-84941.42857142858</v>
      </c>
      <c r="R152" s="411">
        <f t="shared" si="35"/>
        <v>-84941.42857142858</v>
      </c>
      <c r="S152" s="411">
        <f t="shared" si="35"/>
        <v>-514274.76190476184</v>
      </c>
      <c r="T152" s="411">
        <f t="shared" si="35"/>
        <v>-84941.42857142858</v>
      </c>
      <c r="U152" s="411">
        <f t="shared" si="35"/>
        <v>-84941.42857142858</v>
      </c>
      <c r="V152" s="411">
        <f t="shared" si="35"/>
        <v>-514274.76190476184</v>
      </c>
      <c r="W152" s="411">
        <f t="shared" si="35"/>
        <v>-694274.76190476189</v>
      </c>
      <c r="X152" s="411">
        <f t="shared" si="35"/>
        <v>-264941.42857142858</v>
      </c>
      <c r="Y152" s="411">
        <f t="shared" si="35"/>
        <v>0</v>
      </c>
      <c r="Z152" s="411">
        <f t="shared" si="35"/>
        <v>-555833.33333333326</v>
      </c>
      <c r="AA152" s="411">
        <f t="shared" si="35"/>
        <v>0</v>
      </c>
      <c r="AB152" s="411">
        <f t="shared" si="35"/>
        <v>0</v>
      </c>
      <c r="AC152" s="411">
        <f t="shared" si="35"/>
        <v>-1521833.3333333333</v>
      </c>
      <c r="AD152" s="411">
        <f t="shared" si="35"/>
        <v>-555833.33333333326</v>
      </c>
      <c r="AE152" s="411">
        <f t="shared" si="35"/>
        <v>0</v>
      </c>
      <c r="AF152" s="411">
        <f t="shared" si="35"/>
        <v>-966000</v>
      </c>
      <c r="AG152" s="411">
        <f t="shared" si="35"/>
        <v>-966000</v>
      </c>
      <c r="AH152" s="411">
        <f t="shared" si="35"/>
        <v>0</v>
      </c>
      <c r="AI152" s="411">
        <f t="shared" si="35"/>
        <v>0</v>
      </c>
      <c r="AJ152" s="411">
        <f t="shared" si="35"/>
        <v>0</v>
      </c>
      <c r="AK152" s="411">
        <f t="shared" si="35"/>
        <v>0</v>
      </c>
      <c r="AL152" s="411">
        <f t="shared" si="35"/>
        <v>0</v>
      </c>
      <c r="AM152" s="411">
        <f t="shared" si="35"/>
        <v>0</v>
      </c>
      <c r="AN152" s="411">
        <f t="shared" si="35"/>
        <v>0</v>
      </c>
      <c r="AO152" s="411">
        <f t="shared" si="35"/>
        <v>0</v>
      </c>
      <c r="AP152" s="411">
        <f t="shared" si="35"/>
        <v>0</v>
      </c>
      <c r="AQ152" s="411" t="str">
        <f t="shared" si="35"/>
        <v/>
      </c>
      <c r="AR152" s="411" t="str">
        <f t="shared" si="35"/>
        <v/>
      </c>
      <c r="AS152" s="411" t="str">
        <f t="shared" si="35"/>
        <v/>
      </c>
      <c r="AT152" s="411" t="str">
        <f t="shared" si="35"/>
        <v/>
      </c>
      <c r="AU152" s="411" t="str">
        <f t="shared" si="35"/>
        <v/>
      </c>
      <c r="AV152" s="411" t="str">
        <f t="shared" si="35"/>
        <v/>
      </c>
      <c r="AW152" s="411" t="str">
        <f t="shared" si="35"/>
        <v/>
      </c>
      <c r="AX152" s="411" t="str">
        <f t="shared" si="35"/>
        <v/>
      </c>
      <c r="AY152" s="411" t="str">
        <f t="shared" si="35"/>
        <v/>
      </c>
      <c r="AZ152" s="411" t="str">
        <f t="shared" si="35"/>
        <v/>
      </c>
      <c r="BA152" s="411" t="str">
        <f t="shared" si="35"/>
        <v/>
      </c>
      <c r="BB152" s="411" t="str">
        <f t="shared" si="35"/>
        <v/>
      </c>
      <c r="BC152" s="411" t="str">
        <f t="shared" si="35"/>
        <v/>
      </c>
      <c r="BD152" s="411" t="str">
        <f t="shared" si="35"/>
        <v/>
      </c>
      <c r="BE152" s="411" t="str">
        <f t="shared" si="35"/>
        <v/>
      </c>
      <c r="BF152" s="411" t="str">
        <f t="shared" si="35"/>
        <v/>
      </c>
      <c r="BG152" s="411" t="str">
        <f t="shared" si="35"/>
        <v/>
      </c>
      <c r="BH152" s="411" t="str">
        <f t="shared" si="35"/>
        <v/>
      </c>
      <c r="BI152" s="411" t="str">
        <f t="shared" si="35"/>
        <v/>
      </c>
      <c r="BJ152" s="411" t="str">
        <f t="shared" si="35"/>
        <v/>
      </c>
      <c r="BK152" s="411" t="str">
        <f t="shared" si="35"/>
        <v/>
      </c>
      <c r="BL152" s="411" t="str">
        <f t="shared" si="35"/>
        <v/>
      </c>
      <c r="BM152" s="413" t="str">
        <f t="shared" si="35"/>
        <v/>
      </c>
    </row>
    <row r="153" spans="2:65" s="307" customFormat="1" x14ac:dyDescent="0.45">
      <c r="B153" s="346" t="s">
        <v>288</v>
      </c>
      <c r="C153" s="647"/>
      <c r="D153" s="628"/>
      <c r="E153" s="416"/>
      <c r="F153" s="417">
        <f>F137+F152</f>
        <v>426400</v>
      </c>
      <c r="G153" s="417">
        <f>IF(G$114="","",G137+G152)</f>
        <v>0</v>
      </c>
      <c r="H153" s="417">
        <f t="shared" ref="H153:BM153" si="36">IF(H$114="","",H137+H152)</f>
        <v>0</v>
      </c>
      <c r="I153" s="417">
        <f t="shared" si="36"/>
        <v>0</v>
      </c>
      <c r="J153" s="417">
        <f t="shared" si="36"/>
        <v>-55370</v>
      </c>
      <c r="K153" s="417">
        <f t="shared" si="36"/>
        <v>-84941.42857142858</v>
      </c>
      <c r="L153" s="417">
        <f t="shared" si="36"/>
        <v>-84941.42857142858</v>
      </c>
      <c r="M153" s="417">
        <f t="shared" si="36"/>
        <v>-84941.42857142858</v>
      </c>
      <c r="N153" s="417">
        <f t="shared" si="36"/>
        <v>-84941.42857142858</v>
      </c>
      <c r="O153" s="417">
        <f t="shared" si="36"/>
        <v>-84941.42857142858</v>
      </c>
      <c r="P153" s="417">
        <f t="shared" si="36"/>
        <v>-84941.42857142858</v>
      </c>
      <c r="Q153" s="417">
        <f t="shared" si="36"/>
        <v>-84941.42857142858</v>
      </c>
      <c r="R153" s="417">
        <f t="shared" si="36"/>
        <v>-84941.42857142858</v>
      </c>
      <c r="S153" s="417">
        <f t="shared" si="36"/>
        <v>-514274.76190476184</v>
      </c>
      <c r="T153" s="417">
        <f t="shared" si="36"/>
        <v>-84941.42857142858</v>
      </c>
      <c r="U153" s="417">
        <f t="shared" si="36"/>
        <v>-84941.42857142858</v>
      </c>
      <c r="V153" s="417">
        <f t="shared" si="36"/>
        <v>-98474.761904761894</v>
      </c>
      <c r="W153" s="417">
        <f t="shared" si="36"/>
        <v>-139874.76190476189</v>
      </c>
      <c r="X153" s="417">
        <f t="shared" si="36"/>
        <v>1208102.0496894412</v>
      </c>
      <c r="Y153" s="417">
        <f t="shared" si="36"/>
        <v>0</v>
      </c>
      <c r="Z153" s="417">
        <f t="shared" si="36"/>
        <v>-555833.33333333326</v>
      </c>
      <c r="AA153" s="417">
        <f t="shared" si="36"/>
        <v>0</v>
      </c>
      <c r="AB153" s="417">
        <f t="shared" si="36"/>
        <v>0</v>
      </c>
      <c r="AC153" s="417">
        <f t="shared" si="36"/>
        <v>-1087133.3333333333</v>
      </c>
      <c r="AD153" s="417">
        <f t="shared" si="36"/>
        <v>23766.666666666744</v>
      </c>
      <c r="AE153" s="417">
        <f t="shared" si="36"/>
        <v>1540000.0000000002</v>
      </c>
      <c r="AF153" s="417">
        <f t="shared" si="36"/>
        <v>-380100</v>
      </c>
      <c r="AG153" s="417">
        <f t="shared" si="36"/>
        <v>-184800</v>
      </c>
      <c r="AH153" s="417">
        <f>IF(AH$114="","",AH137+AH152)</f>
        <v>2075652.1739130437</v>
      </c>
      <c r="AI153" s="417">
        <f t="shared" si="36"/>
        <v>0</v>
      </c>
      <c r="AJ153" s="417">
        <f t="shared" si="36"/>
        <v>0</v>
      </c>
      <c r="AK153" s="417">
        <f t="shared" si="36"/>
        <v>0</v>
      </c>
      <c r="AL153" s="417">
        <f t="shared" si="36"/>
        <v>0</v>
      </c>
      <c r="AM153" s="417">
        <f t="shared" si="36"/>
        <v>0</v>
      </c>
      <c r="AN153" s="417">
        <f t="shared" si="36"/>
        <v>0</v>
      </c>
      <c r="AO153" s="417">
        <f t="shared" si="36"/>
        <v>0</v>
      </c>
      <c r="AP153" s="417">
        <f t="shared" si="36"/>
        <v>0</v>
      </c>
      <c r="AQ153" s="417" t="str">
        <f t="shared" si="36"/>
        <v/>
      </c>
      <c r="AR153" s="417" t="str">
        <f t="shared" si="36"/>
        <v/>
      </c>
      <c r="AS153" s="417" t="str">
        <f t="shared" si="36"/>
        <v/>
      </c>
      <c r="AT153" s="417" t="str">
        <f t="shared" si="36"/>
        <v/>
      </c>
      <c r="AU153" s="417" t="str">
        <f t="shared" si="36"/>
        <v/>
      </c>
      <c r="AV153" s="417" t="str">
        <f t="shared" si="36"/>
        <v/>
      </c>
      <c r="AW153" s="417" t="str">
        <f t="shared" si="36"/>
        <v/>
      </c>
      <c r="AX153" s="417" t="str">
        <f t="shared" si="36"/>
        <v/>
      </c>
      <c r="AY153" s="417" t="str">
        <f t="shared" si="36"/>
        <v/>
      </c>
      <c r="AZ153" s="417" t="str">
        <f t="shared" si="36"/>
        <v/>
      </c>
      <c r="BA153" s="417" t="str">
        <f t="shared" si="36"/>
        <v/>
      </c>
      <c r="BB153" s="417" t="str">
        <f t="shared" si="36"/>
        <v/>
      </c>
      <c r="BC153" s="417" t="str">
        <f t="shared" si="36"/>
        <v/>
      </c>
      <c r="BD153" s="417" t="str">
        <f t="shared" si="36"/>
        <v/>
      </c>
      <c r="BE153" s="417" t="str">
        <f t="shared" si="36"/>
        <v/>
      </c>
      <c r="BF153" s="417" t="str">
        <f t="shared" si="36"/>
        <v/>
      </c>
      <c r="BG153" s="417" t="str">
        <f t="shared" si="36"/>
        <v/>
      </c>
      <c r="BH153" s="417" t="str">
        <f t="shared" si="36"/>
        <v/>
      </c>
      <c r="BI153" s="417" t="str">
        <f t="shared" si="36"/>
        <v/>
      </c>
      <c r="BJ153" s="417" t="str">
        <f t="shared" si="36"/>
        <v/>
      </c>
      <c r="BK153" s="417" t="str">
        <f t="shared" si="36"/>
        <v/>
      </c>
      <c r="BL153" s="417" t="str">
        <f t="shared" si="36"/>
        <v/>
      </c>
      <c r="BM153" s="650" t="str">
        <f t="shared" si="36"/>
        <v/>
      </c>
    </row>
    <row r="154" spans="2:65" s="307" customFormat="1" x14ac:dyDescent="0.45">
      <c r="B154" s="102" t="s">
        <v>289</v>
      </c>
      <c r="C154" s="302"/>
      <c r="D154" s="411"/>
      <c r="E154" s="412"/>
      <c r="F154" s="411">
        <f>F153</f>
        <v>426400</v>
      </c>
      <c r="G154" s="411">
        <f>IF(G$114="","",G153+F154)</f>
        <v>426400</v>
      </c>
      <c r="H154" s="411">
        <f t="shared" ref="H154:J154" si="37">IF(H$114="","",H153+G154)</f>
        <v>426400</v>
      </c>
      <c r="I154" s="411">
        <f t="shared" si="37"/>
        <v>426400</v>
      </c>
      <c r="J154" s="411">
        <f t="shared" si="37"/>
        <v>371030</v>
      </c>
      <c r="K154" s="411">
        <f t="shared" ref="K154" si="38">IF(K$114="","",K153+J154)</f>
        <v>286088.57142857142</v>
      </c>
      <c r="L154" s="411">
        <f t="shared" ref="L154:M154" si="39">IF(L$114="","",L153+K154)</f>
        <v>201147.14285714284</v>
      </c>
      <c r="M154" s="411">
        <f t="shared" si="39"/>
        <v>116205.71428571426</v>
      </c>
      <c r="N154" s="411">
        <f t="shared" ref="N154" si="40">IF(N$114="","",N153+M154)</f>
        <v>31264.285714285681</v>
      </c>
      <c r="O154" s="411">
        <f t="shared" ref="O154:P154" si="41">IF(O$114="","",O153+N154)</f>
        <v>-53677.142857142899</v>
      </c>
      <c r="P154" s="411">
        <f t="shared" si="41"/>
        <v>-138618.57142857148</v>
      </c>
      <c r="Q154" s="411">
        <f t="shared" ref="Q154" si="42">IF(Q$114="","",Q153+P154)</f>
        <v>-223560.00000000006</v>
      </c>
      <c r="R154" s="411">
        <f t="shared" ref="R154:S154" si="43">IF(R$114="","",R153+Q154)</f>
        <v>-308501.42857142864</v>
      </c>
      <c r="S154" s="411">
        <f t="shared" si="43"/>
        <v>-822776.19047619053</v>
      </c>
      <c r="T154" s="411">
        <f t="shared" ref="T154" si="44">IF(T$114="","",T153+S154)</f>
        <v>-907717.61904761917</v>
      </c>
      <c r="U154" s="411">
        <f t="shared" ref="U154:V154" si="45">IF(U$114="","",U153+T154)</f>
        <v>-992659.04761904781</v>
      </c>
      <c r="V154" s="411">
        <f t="shared" si="45"/>
        <v>-1091133.8095238097</v>
      </c>
      <c r="W154" s="411">
        <f t="shared" ref="W154" si="46">IF(W$114="","",W153+V154)</f>
        <v>-1231008.5714285716</v>
      </c>
      <c r="X154" s="411">
        <f t="shared" ref="X154:Y154" si="47">IF(X$114="","",X153+W154)</f>
        <v>-22906.521739130374</v>
      </c>
      <c r="Y154" s="411">
        <f t="shared" si="47"/>
        <v>-22906.521739130374</v>
      </c>
      <c r="Z154" s="411">
        <f t="shared" ref="Z154" si="48">IF(Z$114="","",Z153+Y154)</f>
        <v>-578739.85507246363</v>
      </c>
      <c r="AA154" s="411">
        <f t="shared" ref="AA154:AB154" si="49">IF(AA$114="","",AA153+Z154)</f>
        <v>-578739.85507246363</v>
      </c>
      <c r="AB154" s="411">
        <f t="shared" si="49"/>
        <v>-578739.85507246363</v>
      </c>
      <c r="AC154" s="411">
        <f t="shared" ref="AC154" si="50">IF(AC$114="","",AC153+AB154)</f>
        <v>-1665873.1884057969</v>
      </c>
      <c r="AD154" s="411">
        <f t="shared" ref="AD154:AE154" si="51">IF(AD$114="","",AD153+AC154)</f>
        <v>-1642106.5217391301</v>
      </c>
      <c r="AE154" s="411">
        <f t="shared" si="51"/>
        <v>-102106.52173912991</v>
      </c>
      <c r="AF154" s="411">
        <f t="shared" ref="AF154" si="52">IF(AF$114="","",AF153+AE154)</f>
        <v>-482206.52173912991</v>
      </c>
      <c r="AG154" s="411">
        <f t="shared" ref="AG154:AH154" si="53">IF(AG$114="","",AG153+AF154)</f>
        <v>-667006.52173912991</v>
      </c>
      <c r="AH154" s="411">
        <f t="shared" si="53"/>
        <v>1408645.6521739138</v>
      </c>
      <c r="AI154" s="411">
        <f t="shared" ref="AI154" si="54">IF(AI$114="","",AI153+AH154)</f>
        <v>1408645.6521739138</v>
      </c>
      <c r="AJ154" s="411">
        <f t="shared" ref="AJ154:AK154" si="55">IF(AJ$114="","",AJ153+AI154)</f>
        <v>1408645.6521739138</v>
      </c>
      <c r="AK154" s="411">
        <f t="shared" si="55"/>
        <v>1408645.6521739138</v>
      </c>
      <c r="AL154" s="411">
        <f t="shared" ref="AL154" si="56">IF(AL$114="","",AL153+AK154)</f>
        <v>1408645.6521739138</v>
      </c>
      <c r="AM154" s="411">
        <f t="shared" ref="AM154:AN154" si="57">IF(AM$114="","",AM153+AL154)</f>
        <v>1408645.6521739138</v>
      </c>
      <c r="AN154" s="411">
        <f t="shared" si="57"/>
        <v>1408645.6521739138</v>
      </c>
      <c r="AO154" s="411">
        <f t="shared" ref="AO154" si="58">IF(AO$114="","",AO153+AN154)</f>
        <v>1408645.6521739138</v>
      </c>
      <c r="AP154" s="411">
        <f t="shared" ref="AP154:AQ154" si="59">IF(AP$114="","",AP153+AO154)</f>
        <v>1408645.6521739138</v>
      </c>
      <c r="AQ154" s="411" t="str">
        <f t="shared" si="59"/>
        <v/>
      </c>
      <c r="AR154" s="411" t="str">
        <f t="shared" ref="AR154" si="60">IF(AR$114="","",AR153+AQ154)</f>
        <v/>
      </c>
      <c r="AS154" s="411" t="str">
        <f t="shared" ref="AS154:AT154" si="61">IF(AS$114="","",AS153+AR154)</f>
        <v/>
      </c>
      <c r="AT154" s="411" t="str">
        <f t="shared" si="61"/>
        <v/>
      </c>
      <c r="AU154" s="411" t="str">
        <f t="shared" ref="AU154" si="62">IF(AU$114="","",AU153+AT154)</f>
        <v/>
      </c>
      <c r="AV154" s="411" t="str">
        <f t="shared" ref="AV154:AW154" si="63">IF(AV$114="","",AV153+AU154)</f>
        <v/>
      </c>
      <c r="AW154" s="411" t="str">
        <f t="shared" si="63"/>
        <v/>
      </c>
      <c r="AX154" s="411" t="str">
        <f t="shared" ref="AX154" si="64">IF(AX$114="","",AX153+AW154)</f>
        <v/>
      </c>
      <c r="AY154" s="411" t="str">
        <f t="shared" ref="AY154:AZ154" si="65">IF(AY$114="","",AY153+AX154)</f>
        <v/>
      </c>
      <c r="AZ154" s="411" t="str">
        <f t="shared" si="65"/>
        <v/>
      </c>
      <c r="BA154" s="411" t="str">
        <f t="shared" ref="BA154" si="66">IF(BA$114="","",BA153+AZ154)</f>
        <v/>
      </c>
      <c r="BB154" s="411" t="str">
        <f t="shared" ref="BB154:BC154" si="67">IF(BB$114="","",BB153+BA154)</f>
        <v/>
      </c>
      <c r="BC154" s="411" t="str">
        <f t="shared" si="67"/>
        <v/>
      </c>
      <c r="BD154" s="411" t="str">
        <f t="shared" ref="BD154" si="68">IF(BD$114="","",BD153+BC154)</f>
        <v/>
      </c>
      <c r="BE154" s="411" t="str">
        <f t="shared" ref="BE154:BF154" si="69">IF(BE$114="","",BE153+BD154)</f>
        <v/>
      </c>
      <c r="BF154" s="411" t="str">
        <f t="shared" si="69"/>
        <v/>
      </c>
      <c r="BG154" s="411" t="str">
        <f t="shared" ref="BG154" si="70">IF(BG$114="","",BG153+BF154)</f>
        <v/>
      </c>
      <c r="BH154" s="411" t="str">
        <f t="shared" ref="BH154:BI154" si="71">IF(BH$114="","",BH153+BG154)</f>
        <v/>
      </c>
      <c r="BI154" s="411" t="str">
        <f t="shared" si="71"/>
        <v/>
      </c>
      <c r="BJ154" s="411" t="str">
        <f t="shared" ref="BJ154" si="72">IF(BJ$114="","",BJ153+BI154)</f>
        <v/>
      </c>
      <c r="BK154" s="411" t="str">
        <f t="shared" ref="BK154:BL154" si="73">IF(BK$114="","",BK153+BJ154)</f>
        <v/>
      </c>
      <c r="BL154" s="411" t="str">
        <f t="shared" si="73"/>
        <v/>
      </c>
      <c r="BM154" s="413" t="str">
        <f t="shared" ref="BM154" si="74">IF(BM$114="","",BM153+BL154)</f>
        <v/>
      </c>
    </row>
    <row r="155" spans="2:65" s="307" customFormat="1" x14ac:dyDescent="0.45">
      <c r="B155" s="619" t="s">
        <v>388</v>
      </c>
      <c r="C155" s="264"/>
      <c r="D155" s="408"/>
      <c r="E155" s="341"/>
      <c r="F155" s="408"/>
      <c r="G155" s="408"/>
      <c r="H155" s="408"/>
      <c r="I155" s="408"/>
      <c r="J155" s="408"/>
      <c r="K155" s="408"/>
      <c r="L155" s="408"/>
      <c r="M155" s="408"/>
      <c r="N155" s="408"/>
      <c r="O155" s="408"/>
      <c r="P155" s="408"/>
      <c r="Q155" s="408"/>
      <c r="R155" s="408"/>
      <c r="S155" s="408"/>
      <c r="T155" s="408"/>
      <c r="U155" s="408"/>
      <c r="V155" s="408"/>
      <c r="W155" s="408"/>
      <c r="X155" s="408"/>
      <c r="Y155" s="408"/>
      <c r="Z155" s="408"/>
      <c r="AA155" s="408"/>
      <c r="AB155" s="408"/>
      <c r="AC155" s="408"/>
      <c r="AD155" s="408"/>
      <c r="AE155" s="408"/>
      <c r="AF155" s="408"/>
      <c r="AG155" s="408"/>
      <c r="AH155" s="408"/>
      <c r="AI155" s="408"/>
      <c r="AJ155" s="408"/>
      <c r="AK155" s="408"/>
      <c r="AL155" s="408"/>
      <c r="AM155" s="408"/>
      <c r="AN155" s="408"/>
      <c r="AO155" s="408"/>
      <c r="AP155" s="408"/>
      <c r="AQ155" s="408"/>
      <c r="AR155" s="408"/>
      <c r="AS155" s="408"/>
      <c r="AT155" s="408"/>
      <c r="AU155" s="408"/>
      <c r="AV155" s="408"/>
      <c r="AW155" s="408"/>
      <c r="AX155" s="408"/>
      <c r="AY155" s="408"/>
      <c r="AZ155" s="408"/>
      <c r="BA155" s="408"/>
      <c r="BB155" s="408"/>
      <c r="BC155" s="408"/>
      <c r="BD155" s="408"/>
      <c r="BE155" s="408"/>
      <c r="BF155" s="408"/>
      <c r="BG155" s="408"/>
      <c r="BH155" s="408"/>
      <c r="BI155" s="408"/>
      <c r="BJ155" s="408"/>
      <c r="BK155" s="408"/>
      <c r="BL155" s="408"/>
      <c r="BM155" s="409"/>
    </row>
    <row r="156" spans="2:65" s="307" customFormat="1" x14ac:dyDescent="0.45">
      <c r="B156" s="340" t="s">
        <v>291</v>
      </c>
      <c r="C156" s="341"/>
      <c r="D156" s="345"/>
      <c r="E156" s="407"/>
      <c r="F156" s="408">
        <f>IF(F154&lt;=0,-F154,0)</f>
        <v>0</v>
      </c>
      <c r="G156" s="408">
        <f t="shared" ref="G156:AL156" si="75">IF(G114="","",IF(G154&lt;=0,-G154,0))</f>
        <v>0</v>
      </c>
      <c r="H156" s="408">
        <f t="shared" si="75"/>
        <v>0</v>
      </c>
      <c r="I156" s="408">
        <f t="shared" si="75"/>
        <v>0</v>
      </c>
      <c r="J156" s="408">
        <f t="shared" si="75"/>
        <v>0</v>
      </c>
      <c r="K156" s="408">
        <f t="shared" si="75"/>
        <v>0</v>
      </c>
      <c r="L156" s="408">
        <f t="shared" si="75"/>
        <v>0</v>
      </c>
      <c r="M156" s="408">
        <f t="shared" si="75"/>
        <v>0</v>
      </c>
      <c r="N156" s="408">
        <f t="shared" si="75"/>
        <v>0</v>
      </c>
      <c r="O156" s="408">
        <f t="shared" si="75"/>
        <v>53677.142857142899</v>
      </c>
      <c r="P156" s="408">
        <f t="shared" si="75"/>
        <v>138618.57142857148</v>
      </c>
      <c r="Q156" s="408">
        <f t="shared" si="75"/>
        <v>223560.00000000006</v>
      </c>
      <c r="R156" s="408">
        <f t="shared" si="75"/>
        <v>308501.42857142864</v>
      </c>
      <c r="S156" s="408">
        <f t="shared" si="75"/>
        <v>822776.19047619053</v>
      </c>
      <c r="T156" s="408">
        <f t="shared" si="75"/>
        <v>907717.61904761917</v>
      </c>
      <c r="U156" s="408">
        <f t="shared" si="75"/>
        <v>992659.04761904781</v>
      </c>
      <c r="V156" s="408">
        <f t="shared" si="75"/>
        <v>1091133.8095238097</v>
      </c>
      <c r="W156" s="408">
        <f t="shared" si="75"/>
        <v>1231008.5714285716</v>
      </c>
      <c r="X156" s="408">
        <f t="shared" si="75"/>
        <v>22906.521739130374</v>
      </c>
      <c r="Y156" s="408">
        <f t="shared" si="75"/>
        <v>22906.521739130374</v>
      </c>
      <c r="Z156" s="408">
        <f t="shared" si="75"/>
        <v>578739.85507246363</v>
      </c>
      <c r="AA156" s="408">
        <f t="shared" si="75"/>
        <v>578739.85507246363</v>
      </c>
      <c r="AB156" s="408">
        <f t="shared" si="75"/>
        <v>578739.85507246363</v>
      </c>
      <c r="AC156" s="408">
        <f t="shared" si="75"/>
        <v>1665873.1884057969</v>
      </c>
      <c r="AD156" s="408">
        <f t="shared" si="75"/>
        <v>1642106.5217391301</v>
      </c>
      <c r="AE156" s="408">
        <f t="shared" si="75"/>
        <v>102106.52173912991</v>
      </c>
      <c r="AF156" s="408">
        <f t="shared" si="75"/>
        <v>482206.52173912991</v>
      </c>
      <c r="AG156" s="408">
        <f t="shared" si="75"/>
        <v>667006.52173912991</v>
      </c>
      <c r="AH156" s="408">
        <f t="shared" si="75"/>
        <v>0</v>
      </c>
      <c r="AI156" s="408">
        <f t="shared" si="75"/>
        <v>0</v>
      </c>
      <c r="AJ156" s="408">
        <f t="shared" si="75"/>
        <v>0</v>
      </c>
      <c r="AK156" s="408">
        <f t="shared" si="75"/>
        <v>0</v>
      </c>
      <c r="AL156" s="408">
        <f t="shared" si="75"/>
        <v>0</v>
      </c>
      <c r="AM156" s="408">
        <f t="shared" ref="AM156:BM156" si="76">IF(AM114="","",IF(AM154&lt;=0,-AM154,0))</f>
        <v>0</v>
      </c>
      <c r="AN156" s="408">
        <f t="shared" si="76"/>
        <v>0</v>
      </c>
      <c r="AO156" s="408">
        <f t="shared" si="76"/>
        <v>0</v>
      </c>
      <c r="AP156" s="408">
        <f t="shared" si="76"/>
        <v>0</v>
      </c>
      <c r="AQ156" s="408" t="str">
        <f t="shared" si="76"/>
        <v/>
      </c>
      <c r="AR156" s="408" t="str">
        <f t="shared" si="76"/>
        <v/>
      </c>
      <c r="AS156" s="408" t="str">
        <f t="shared" si="76"/>
        <v/>
      </c>
      <c r="AT156" s="408" t="str">
        <f t="shared" si="76"/>
        <v/>
      </c>
      <c r="AU156" s="408" t="str">
        <f t="shared" si="76"/>
        <v/>
      </c>
      <c r="AV156" s="408" t="str">
        <f t="shared" si="76"/>
        <v/>
      </c>
      <c r="AW156" s="408" t="str">
        <f t="shared" si="76"/>
        <v/>
      </c>
      <c r="AX156" s="408" t="str">
        <f t="shared" si="76"/>
        <v/>
      </c>
      <c r="AY156" s="408" t="str">
        <f t="shared" si="76"/>
        <v/>
      </c>
      <c r="AZ156" s="408" t="str">
        <f t="shared" si="76"/>
        <v/>
      </c>
      <c r="BA156" s="408" t="str">
        <f t="shared" si="76"/>
        <v/>
      </c>
      <c r="BB156" s="408" t="str">
        <f t="shared" si="76"/>
        <v/>
      </c>
      <c r="BC156" s="408" t="str">
        <f t="shared" si="76"/>
        <v/>
      </c>
      <c r="BD156" s="408" t="str">
        <f t="shared" si="76"/>
        <v/>
      </c>
      <c r="BE156" s="408" t="str">
        <f t="shared" si="76"/>
        <v/>
      </c>
      <c r="BF156" s="408" t="str">
        <f t="shared" si="76"/>
        <v/>
      </c>
      <c r="BG156" s="408" t="str">
        <f t="shared" si="76"/>
        <v/>
      </c>
      <c r="BH156" s="408" t="str">
        <f t="shared" si="76"/>
        <v/>
      </c>
      <c r="BI156" s="408" t="str">
        <f t="shared" si="76"/>
        <v/>
      </c>
      <c r="BJ156" s="408" t="str">
        <f t="shared" si="76"/>
        <v/>
      </c>
      <c r="BK156" s="408" t="str">
        <f t="shared" si="76"/>
        <v/>
      </c>
      <c r="BL156" s="408" t="str">
        <f t="shared" si="76"/>
        <v/>
      </c>
      <c r="BM156" s="409" t="str">
        <f t="shared" si="76"/>
        <v/>
      </c>
    </row>
    <row r="157" spans="2:65" s="307" customFormat="1" ht="14.65" thickBot="1" x14ac:dyDescent="0.5">
      <c r="B157" s="340" t="s">
        <v>292</v>
      </c>
      <c r="C157" s="341"/>
      <c r="D157" s="341"/>
      <c r="E157" s="407"/>
      <c r="F157" s="408">
        <f>(F156*$C$110)/12</f>
        <v>0</v>
      </c>
      <c r="G157" s="408">
        <f t="shared" ref="G157:AL157" si="77">IF(G114="","",(G156*$C$110)/12+F157)</f>
        <v>0</v>
      </c>
      <c r="H157" s="408">
        <f t="shared" si="77"/>
        <v>0</v>
      </c>
      <c r="I157" s="408">
        <f t="shared" si="77"/>
        <v>0</v>
      </c>
      <c r="J157" s="408">
        <f t="shared" si="77"/>
        <v>0</v>
      </c>
      <c r="K157" s="408">
        <f t="shared" si="77"/>
        <v>0</v>
      </c>
      <c r="L157" s="408">
        <f t="shared" si="77"/>
        <v>0</v>
      </c>
      <c r="M157" s="408">
        <f t="shared" si="77"/>
        <v>0</v>
      </c>
      <c r="N157" s="408">
        <f t="shared" si="77"/>
        <v>0</v>
      </c>
      <c r="O157" s="408">
        <f t="shared" si="77"/>
        <v>268.38571428571447</v>
      </c>
      <c r="P157" s="408">
        <f t="shared" si="77"/>
        <v>961.47857142857174</v>
      </c>
      <c r="Q157" s="408">
        <f t="shared" si="77"/>
        <v>2079.2785714285719</v>
      </c>
      <c r="R157" s="408">
        <f t="shared" si="77"/>
        <v>3621.7857142857147</v>
      </c>
      <c r="S157" s="408">
        <f t="shared" si="77"/>
        <v>7735.666666666667</v>
      </c>
      <c r="T157" s="408">
        <f t="shared" si="77"/>
        <v>12274.254761904762</v>
      </c>
      <c r="U157" s="408">
        <f t="shared" si="77"/>
        <v>17237.55</v>
      </c>
      <c r="V157" s="408">
        <f t="shared" si="77"/>
        <v>22693.219047619048</v>
      </c>
      <c r="W157" s="408">
        <f t="shared" si="77"/>
        <v>28848.261904761905</v>
      </c>
      <c r="X157" s="408">
        <f t="shared" si="77"/>
        <v>28962.794513457557</v>
      </c>
      <c r="Y157" s="408">
        <f t="shared" si="77"/>
        <v>29077.327122153209</v>
      </c>
      <c r="Z157" s="408">
        <f t="shared" si="77"/>
        <v>31971.026397515525</v>
      </c>
      <c r="AA157" s="408">
        <f t="shared" si="77"/>
        <v>34864.725672877845</v>
      </c>
      <c r="AB157" s="408">
        <f t="shared" si="77"/>
        <v>37758.424948240165</v>
      </c>
      <c r="AC157" s="408">
        <f t="shared" si="77"/>
        <v>46087.790890269149</v>
      </c>
      <c r="AD157" s="408">
        <f t="shared" si="77"/>
        <v>54298.323498964797</v>
      </c>
      <c r="AE157" s="408">
        <f t="shared" si="77"/>
        <v>54808.856107660446</v>
      </c>
      <c r="AF157" s="408">
        <f t="shared" si="77"/>
        <v>57219.888716356094</v>
      </c>
      <c r="AG157" s="408">
        <f t="shared" si="77"/>
        <v>60554.921325051742</v>
      </c>
      <c r="AH157" s="408">
        <f t="shared" si="77"/>
        <v>60554.921325051742</v>
      </c>
      <c r="AI157" s="408">
        <f t="shared" si="77"/>
        <v>60554.921325051742</v>
      </c>
      <c r="AJ157" s="408">
        <f t="shared" si="77"/>
        <v>60554.921325051742</v>
      </c>
      <c r="AK157" s="408">
        <f t="shared" si="77"/>
        <v>60554.921325051742</v>
      </c>
      <c r="AL157" s="408">
        <f t="shared" si="77"/>
        <v>60554.921325051742</v>
      </c>
      <c r="AM157" s="408">
        <f t="shared" ref="AM157:BM157" si="78">IF(AM114="","",(AM156*$C$110)/12+AL157)</f>
        <v>60554.921325051742</v>
      </c>
      <c r="AN157" s="408">
        <f t="shared" si="78"/>
        <v>60554.921325051742</v>
      </c>
      <c r="AO157" s="408">
        <f t="shared" si="78"/>
        <v>60554.921325051742</v>
      </c>
      <c r="AP157" s="408">
        <f t="shared" si="78"/>
        <v>60554.921325051742</v>
      </c>
      <c r="AQ157" s="408" t="str">
        <f t="shared" si="78"/>
        <v/>
      </c>
      <c r="AR157" s="408" t="str">
        <f t="shared" si="78"/>
        <v/>
      </c>
      <c r="AS157" s="408" t="str">
        <f t="shared" si="78"/>
        <v/>
      </c>
      <c r="AT157" s="408" t="str">
        <f t="shared" si="78"/>
        <v/>
      </c>
      <c r="AU157" s="408" t="str">
        <f t="shared" si="78"/>
        <v/>
      </c>
      <c r="AV157" s="408" t="str">
        <f t="shared" si="78"/>
        <v/>
      </c>
      <c r="AW157" s="408" t="str">
        <f t="shared" si="78"/>
        <v/>
      </c>
      <c r="AX157" s="408" t="str">
        <f t="shared" si="78"/>
        <v/>
      </c>
      <c r="AY157" s="408" t="str">
        <f t="shared" si="78"/>
        <v/>
      </c>
      <c r="AZ157" s="408" t="str">
        <f t="shared" si="78"/>
        <v/>
      </c>
      <c r="BA157" s="408" t="str">
        <f t="shared" si="78"/>
        <v/>
      </c>
      <c r="BB157" s="408" t="str">
        <f t="shared" si="78"/>
        <v/>
      </c>
      <c r="BC157" s="408" t="str">
        <f t="shared" si="78"/>
        <v/>
      </c>
      <c r="BD157" s="408" t="str">
        <f t="shared" si="78"/>
        <v/>
      </c>
      <c r="BE157" s="408" t="str">
        <f t="shared" si="78"/>
        <v/>
      </c>
      <c r="BF157" s="408" t="str">
        <f t="shared" si="78"/>
        <v/>
      </c>
      <c r="BG157" s="408" t="str">
        <f t="shared" si="78"/>
        <v/>
      </c>
      <c r="BH157" s="408" t="str">
        <f t="shared" si="78"/>
        <v/>
      </c>
      <c r="BI157" s="408" t="str">
        <f t="shared" si="78"/>
        <v/>
      </c>
      <c r="BJ157" s="408" t="str">
        <f t="shared" si="78"/>
        <v/>
      </c>
      <c r="BK157" s="408" t="str">
        <f t="shared" si="78"/>
        <v/>
      </c>
      <c r="BL157" s="408" t="str">
        <f t="shared" si="78"/>
        <v/>
      </c>
      <c r="BM157" s="409" t="str">
        <f t="shared" si="78"/>
        <v/>
      </c>
    </row>
    <row r="158" spans="2:65" s="307" customFormat="1" ht="14.65" thickBot="1" x14ac:dyDescent="0.5">
      <c r="B158" s="651" t="s">
        <v>393</v>
      </c>
      <c r="C158" s="652"/>
      <c r="D158" s="653"/>
      <c r="E158" s="654"/>
      <c r="F158" s="655">
        <f>IF(F114="","",IF(F156=0,0,F156+F157))</f>
        <v>0</v>
      </c>
      <c r="G158" s="655">
        <f t="shared" ref="G158:BM158" si="79">IF(G114="","",IF(G156=0,0,G156+G157))</f>
        <v>0</v>
      </c>
      <c r="H158" s="655">
        <f t="shared" si="79"/>
        <v>0</v>
      </c>
      <c r="I158" s="655">
        <f t="shared" si="79"/>
        <v>0</v>
      </c>
      <c r="J158" s="655">
        <f t="shared" si="79"/>
        <v>0</v>
      </c>
      <c r="K158" s="655">
        <f t="shared" si="79"/>
        <v>0</v>
      </c>
      <c r="L158" s="655">
        <f t="shared" si="79"/>
        <v>0</v>
      </c>
      <c r="M158" s="655">
        <f t="shared" si="79"/>
        <v>0</v>
      </c>
      <c r="N158" s="655">
        <f t="shared" si="79"/>
        <v>0</v>
      </c>
      <c r="O158" s="655">
        <f t="shared" si="79"/>
        <v>53945.528571428615</v>
      </c>
      <c r="P158" s="655">
        <f t="shared" si="79"/>
        <v>139580.05000000005</v>
      </c>
      <c r="Q158" s="655">
        <f t="shared" si="79"/>
        <v>225639.27857142864</v>
      </c>
      <c r="R158" s="655">
        <f t="shared" si="79"/>
        <v>312123.21428571438</v>
      </c>
      <c r="S158" s="655">
        <f t="shared" si="79"/>
        <v>830511.85714285716</v>
      </c>
      <c r="T158" s="655">
        <f t="shared" si="79"/>
        <v>919991.87380952388</v>
      </c>
      <c r="U158" s="655">
        <f t="shared" si="79"/>
        <v>1009896.5976190479</v>
      </c>
      <c r="V158" s="655">
        <f t="shared" si="79"/>
        <v>1113827.0285714287</v>
      </c>
      <c r="W158" s="655">
        <f t="shared" si="79"/>
        <v>1259856.8333333335</v>
      </c>
      <c r="X158" s="655">
        <f t="shared" si="79"/>
        <v>51869.316252587931</v>
      </c>
      <c r="Y158" s="655">
        <f t="shared" si="79"/>
        <v>51983.848861283579</v>
      </c>
      <c r="Z158" s="655">
        <f t="shared" si="79"/>
        <v>610710.88146997918</v>
      </c>
      <c r="AA158" s="655">
        <f t="shared" si="79"/>
        <v>613604.58074534149</v>
      </c>
      <c r="AB158" s="655">
        <f t="shared" si="79"/>
        <v>616498.28002070379</v>
      </c>
      <c r="AC158" s="655">
        <f t="shared" si="79"/>
        <v>1711960.9792960661</v>
      </c>
      <c r="AD158" s="655">
        <f t="shared" si="79"/>
        <v>1696404.8452380949</v>
      </c>
      <c r="AE158" s="655">
        <f t="shared" si="79"/>
        <v>156915.37784679036</v>
      </c>
      <c r="AF158" s="655">
        <f t="shared" si="79"/>
        <v>539426.41045548604</v>
      </c>
      <c r="AG158" s="655">
        <f t="shared" si="79"/>
        <v>727561.4430641816</v>
      </c>
      <c r="AH158" s="655">
        <f t="shared" si="79"/>
        <v>0</v>
      </c>
      <c r="AI158" s="655">
        <f t="shared" si="79"/>
        <v>0</v>
      </c>
      <c r="AJ158" s="655">
        <f t="shared" si="79"/>
        <v>0</v>
      </c>
      <c r="AK158" s="655">
        <f t="shared" si="79"/>
        <v>0</v>
      </c>
      <c r="AL158" s="655">
        <f t="shared" si="79"/>
        <v>0</v>
      </c>
      <c r="AM158" s="655">
        <f t="shared" si="79"/>
        <v>0</v>
      </c>
      <c r="AN158" s="655">
        <f t="shared" si="79"/>
        <v>0</v>
      </c>
      <c r="AO158" s="655">
        <f t="shared" si="79"/>
        <v>0</v>
      </c>
      <c r="AP158" s="655">
        <f t="shared" si="79"/>
        <v>0</v>
      </c>
      <c r="AQ158" s="655" t="str">
        <f t="shared" si="79"/>
        <v/>
      </c>
      <c r="AR158" s="655" t="str">
        <f t="shared" si="79"/>
        <v/>
      </c>
      <c r="AS158" s="655" t="str">
        <f t="shared" si="79"/>
        <v/>
      </c>
      <c r="AT158" s="655" t="str">
        <f t="shared" si="79"/>
        <v/>
      </c>
      <c r="AU158" s="655" t="str">
        <f t="shared" si="79"/>
        <v/>
      </c>
      <c r="AV158" s="655" t="str">
        <f t="shared" si="79"/>
        <v/>
      </c>
      <c r="AW158" s="655" t="str">
        <f t="shared" si="79"/>
        <v/>
      </c>
      <c r="AX158" s="655" t="str">
        <f t="shared" si="79"/>
        <v/>
      </c>
      <c r="AY158" s="655" t="str">
        <f t="shared" si="79"/>
        <v/>
      </c>
      <c r="AZ158" s="655" t="str">
        <f t="shared" si="79"/>
        <v/>
      </c>
      <c r="BA158" s="655" t="str">
        <f t="shared" si="79"/>
        <v/>
      </c>
      <c r="BB158" s="655" t="str">
        <f t="shared" si="79"/>
        <v/>
      </c>
      <c r="BC158" s="655" t="str">
        <f t="shared" si="79"/>
        <v/>
      </c>
      <c r="BD158" s="655" t="str">
        <f t="shared" si="79"/>
        <v/>
      </c>
      <c r="BE158" s="655" t="str">
        <f t="shared" si="79"/>
        <v/>
      </c>
      <c r="BF158" s="655" t="str">
        <f t="shared" si="79"/>
        <v/>
      </c>
      <c r="BG158" s="655" t="str">
        <f t="shared" si="79"/>
        <v/>
      </c>
      <c r="BH158" s="655" t="str">
        <f t="shared" si="79"/>
        <v/>
      </c>
      <c r="BI158" s="655" t="str">
        <f t="shared" si="79"/>
        <v/>
      </c>
      <c r="BJ158" s="655" t="str">
        <f t="shared" si="79"/>
        <v/>
      </c>
      <c r="BK158" s="655" t="str">
        <f t="shared" si="79"/>
        <v/>
      </c>
      <c r="BL158" s="655" t="str">
        <f t="shared" si="79"/>
        <v/>
      </c>
      <c r="BM158" s="656" t="str">
        <f t="shared" si="79"/>
        <v/>
      </c>
    </row>
    <row r="159" spans="2:65" s="307" customFormat="1" x14ac:dyDescent="0.45">
      <c r="B159" s="341"/>
      <c r="C159" s="264"/>
      <c r="D159" s="408"/>
      <c r="E159" s="341"/>
      <c r="F159" s="408"/>
      <c r="G159" s="408"/>
      <c r="H159" s="408"/>
      <c r="I159" s="408"/>
      <c r="J159" s="408"/>
      <c r="K159" s="408"/>
      <c r="L159" s="408"/>
      <c r="M159" s="408"/>
      <c r="N159" s="408"/>
      <c r="O159" s="408"/>
      <c r="P159" s="408"/>
      <c r="Q159" s="408"/>
      <c r="R159" s="408"/>
      <c r="S159" s="408"/>
      <c r="T159" s="408"/>
      <c r="U159" s="408"/>
      <c r="V159" s="408"/>
      <c r="W159" s="408"/>
      <c r="X159" s="408"/>
      <c r="Y159" s="408"/>
      <c r="Z159" s="408"/>
      <c r="AA159" s="408"/>
      <c r="AB159" s="408"/>
      <c r="AC159" s="408"/>
      <c r="AD159" s="408"/>
      <c r="AE159" s="408"/>
      <c r="AF159" s="408"/>
      <c r="AG159" s="408"/>
      <c r="AH159" s="408"/>
      <c r="AI159" s="408"/>
      <c r="AJ159" s="408"/>
      <c r="AK159" s="408"/>
      <c r="AL159" s="408"/>
      <c r="AM159" s="408"/>
      <c r="AN159" s="408"/>
      <c r="AO159" s="408"/>
      <c r="AP159" s="408"/>
      <c r="AQ159" s="408"/>
      <c r="AR159" s="408"/>
      <c r="AS159" s="408"/>
      <c r="AT159" s="408"/>
      <c r="AU159" s="408"/>
      <c r="AV159" s="408"/>
      <c r="AW159" s="408"/>
      <c r="AX159" s="408"/>
      <c r="AY159" s="408"/>
      <c r="AZ159" s="408"/>
      <c r="BA159" s="408"/>
      <c r="BB159" s="408"/>
      <c r="BC159" s="408"/>
      <c r="BD159" s="408"/>
      <c r="BE159" s="408"/>
      <c r="BF159" s="408"/>
      <c r="BG159" s="408"/>
      <c r="BH159" s="408"/>
      <c r="BI159" s="408"/>
      <c r="BJ159" s="408"/>
      <c r="BK159" s="408"/>
      <c r="BL159" s="408"/>
      <c r="BM159" s="408"/>
    </row>
    <row r="160" spans="2:65" s="307" customFormat="1" ht="12" customHeight="1" x14ac:dyDescent="0.45">
      <c r="E160" s="69"/>
    </row>
    <row r="161" s="307" customFormat="1" x14ac:dyDescent="0.45"/>
    <row r="162" s="307" customFormat="1" x14ac:dyDescent="0.45"/>
    <row r="163" s="307" customFormat="1" x14ac:dyDescent="0.45"/>
    <row r="164" s="307" customFormat="1" x14ac:dyDescent="0.45"/>
    <row r="165" s="307" customFormat="1" x14ac:dyDescent="0.45"/>
    <row r="166" s="307" customFormat="1" x14ac:dyDescent="0.45"/>
    <row r="167" s="307" customFormat="1" x14ac:dyDescent="0.45"/>
    <row r="168" s="307" customFormat="1" hidden="1" x14ac:dyDescent="0.45"/>
    <row r="169" s="307" customFormat="1" hidden="1" x14ac:dyDescent="0.45"/>
    <row r="170" s="307" customFormat="1" hidden="1" x14ac:dyDescent="0.45"/>
    <row r="171" s="307" customFormat="1" hidden="1" x14ac:dyDescent="0.45"/>
    <row r="172" s="307" customFormat="1" hidden="1" x14ac:dyDescent="0.45"/>
    <row r="173" s="307" customFormat="1" hidden="1" x14ac:dyDescent="0.45"/>
    <row r="174" s="307" customFormat="1" hidden="1" x14ac:dyDescent="0.45"/>
    <row r="175" s="307" customFormat="1" hidden="1" x14ac:dyDescent="0.45"/>
    <row r="176" s="307" customFormat="1" hidden="1" x14ac:dyDescent="0.45"/>
    <row r="177" spans="2:14" s="307" customFormat="1" hidden="1" x14ac:dyDescent="0.45"/>
    <row r="178" spans="2:14" s="307" customFormat="1" hidden="1" x14ac:dyDescent="0.45">
      <c r="N178" s="445"/>
    </row>
    <row r="179" spans="2:14" s="307" customFormat="1" hidden="1" x14ac:dyDescent="0.45">
      <c r="N179" s="445"/>
    </row>
    <row r="180" spans="2:14" s="307" customFormat="1" hidden="1" x14ac:dyDescent="0.45">
      <c r="N180" s="445"/>
    </row>
    <row r="181" spans="2:14" s="307" customFormat="1" hidden="1" x14ac:dyDescent="0.45">
      <c r="N181" s="445"/>
    </row>
    <row r="182" spans="2:14" s="307" customFormat="1" hidden="1" x14ac:dyDescent="0.45"/>
    <row r="183" spans="2:14" s="307" customFormat="1" hidden="1" x14ac:dyDescent="0.45"/>
    <row r="184" spans="2:14" s="307" customFormat="1" hidden="1" x14ac:dyDescent="0.45"/>
    <row r="185" spans="2:14" s="307" customFormat="1" hidden="1" x14ac:dyDescent="0.45"/>
    <row r="186" spans="2:14" s="307" customFormat="1" x14ac:dyDescent="0.45"/>
    <row r="187" spans="2:14" s="307" customFormat="1" x14ac:dyDescent="0.45"/>
    <row r="188" spans="2:14" s="307" customFormat="1" x14ac:dyDescent="0.45"/>
    <row r="189" spans="2:14" s="307" customFormat="1" x14ac:dyDescent="0.45"/>
    <row r="190" spans="2:14" s="307" customFormat="1" x14ac:dyDescent="0.45">
      <c r="B190" s="119"/>
    </row>
    <row r="191" spans="2:14" s="307" customFormat="1" x14ac:dyDescent="0.45"/>
    <row r="192" spans="2:14" s="307" customFormat="1" x14ac:dyDescent="0.45"/>
    <row r="193" spans="2:9" s="307" customFormat="1" x14ac:dyDescent="0.45"/>
    <row r="194" spans="2:9" s="307" customFormat="1" x14ac:dyDescent="0.45"/>
    <row r="195" spans="2:9" s="307" customFormat="1" x14ac:dyDescent="0.45"/>
    <row r="196" spans="2:9" s="307" customFormat="1" x14ac:dyDescent="0.45"/>
    <row r="197" spans="2:9" s="307" customFormat="1" x14ac:dyDescent="0.45"/>
    <row r="198" spans="2:9" s="307" customFormat="1" x14ac:dyDescent="0.45"/>
    <row r="199" spans="2:9" s="307" customFormat="1" x14ac:dyDescent="0.45"/>
    <row r="200" spans="2:9" s="307" customFormat="1" x14ac:dyDescent="0.45"/>
    <row r="201" spans="2:9" s="307" customFormat="1" x14ac:dyDescent="0.45">
      <c r="I201" s="371"/>
    </row>
    <row r="202" spans="2:9" s="307" customFormat="1" x14ac:dyDescent="0.45"/>
    <row r="203" spans="2:9" s="307" customFormat="1" x14ac:dyDescent="0.45"/>
    <row r="204" spans="2:9" s="307" customFormat="1" x14ac:dyDescent="0.45"/>
    <row r="205" spans="2:9" s="307" customFormat="1" x14ac:dyDescent="0.45"/>
    <row r="206" spans="2:9" s="307" customFormat="1" x14ac:dyDescent="0.45"/>
    <row r="207" spans="2:9" s="307" customFormat="1" x14ac:dyDescent="0.45">
      <c r="B207" s="119"/>
      <c r="D207" s="445"/>
      <c r="I207" s="371"/>
    </row>
    <row r="208" spans="2:9" s="307" customFormat="1" x14ac:dyDescent="0.45">
      <c r="B208" s="726"/>
      <c r="C208" s="726"/>
      <c r="D208" s="726"/>
      <c r="E208" s="726"/>
      <c r="I208" s="371"/>
    </row>
    <row r="209" spans="2:9" s="307" customFormat="1" x14ac:dyDescent="0.45">
      <c r="B209" s="14"/>
      <c r="C209" s="14"/>
      <c r="D209" s="469"/>
      <c r="E209" s="469"/>
      <c r="I209" s="371"/>
    </row>
    <row r="210" spans="2:9" s="307" customFormat="1" x14ac:dyDescent="0.45">
      <c r="D210" s="470"/>
      <c r="I210" s="371"/>
    </row>
    <row r="211" spans="2:9" s="307" customFormat="1" x14ac:dyDescent="0.45">
      <c r="D211" s="69"/>
      <c r="I211" s="371"/>
    </row>
    <row r="212" spans="2:9" s="307" customFormat="1" x14ac:dyDescent="0.45">
      <c r="D212" s="470"/>
      <c r="I212" s="371"/>
    </row>
    <row r="213" spans="2:9" s="307" customFormat="1" x14ac:dyDescent="0.45">
      <c r="D213" s="470"/>
      <c r="I213" s="371"/>
    </row>
    <row r="214" spans="2:9" s="307" customFormat="1" x14ac:dyDescent="0.45">
      <c r="D214" s="470"/>
      <c r="I214" s="371"/>
    </row>
    <row r="215" spans="2:9" s="307" customFormat="1" x14ac:dyDescent="0.45"/>
    <row r="216" spans="2:9" s="307" customFormat="1" x14ac:dyDescent="0.45"/>
    <row r="217" spans="2:9" s="307" customFormat="1" x14ac:dyDescent="0.45">
      <c r="D217" s="69"/>
      <c r="I217" s="371"/>
    </row>
    <row r="218" spans="2:9" s="307" customFormat="1" x14ac:dyDescent="0.45">
      <c r="D218" s="69"/>
      <c r="I218" s="371"/>
    </row>
    <row r="219" spans="2:9" s="307" customFormat="1" x14ac:dyDescent="0.45">
      <c r="D219" s="470"/>
      <c r="H219" s="371"/>
      <c r="I219" s="371"/>
    </row>
    <row r="220" spans="2:9" s="307" customFormat="1" x14ac:dyDescent="0.45">
      <c r="D220" s="69"/>
      <c r="H220" s="470"/>
      <c r="I220" s="470"/>
    </row>
    <row r="221" spans="2:9" s="307" customFormat="1" x14ac:dyDescent="0.45">
      <c r="D221" s="69"/>
      <c r="H221" s="420"/>
      <c r="I221" s="420"/>
    </row>
    <row r="222" spans="2:9" s="307" customFormat="1" x14ac:dyDescent="0.45">
      <c r="D222" s="69"/>
      <c r="H222" s="420"/>
      <c r="I222" s="371"/>
    </row>
    <row r="223" spans="2:9" s="307" customFormat="1" x14ac:dyDescent="0.45">
      <c r="D223" s="69"/>
      <c r="H223" s="420"/>
    </row>
    <row r="224" spans="2:9" s="307" customFormat="1" x14ac:dyDescent="0.45">
      <c r="D224" s="69"/>
      <c r="H224" s="421"/>
      <c r="I224" s="86"/>
    </row>
    <row r="225" spans="4:66" s="307" customFormat="1" x14ac:dyDescent="0.45">
      <c r="D225" s="69"/>
      <c r="H225" s="421"/>
      <c r="I225" s="86"/>
    </row>
    <row r="226" spans="4:66" s="307" customFormat="1" x14ac:dyDescent="0.45">
      <c r="H226" s="470"/>
      <c r="I226" s="470"/>
    </row>
    <row r="227" spans="4:66" s="307" customFormat="1" x14ac:dyDescent="0.45">
      <c r="H227" s="419"/>
    </row>
    <row r="228" spans="4:66" s="307" customFormat="1" x14ac:dyDescent="0.45"/>
    <row r="229" spans="4:66" s="307" customFormat="1" x14ac:dyDescent="0.45"/>
    <row r="230" spans="4:66" s="307" customFormat="1" x14ac:dyDescent="0.45"/>
    <row r="231" spans="4:66" s="307" customFormat="1" x14ac:dyDescent="0.45"/>
    <row r="232" spans="4:66" s="307" customFormat="1" x14ac:dyDescent="0.45"/>
    <row r="233" spans="4:66" s="307" customFormat="1" x14ac:dyDescent="0.45">
      <c r="BM233" s="310"/>
      <c r="BN233" s="310"/>
    </row>
    <row r="234" spans="4:66" s="307" customFormat="1" x14ac:dyDescent="0.45">
      <c r="BM234" s="310"/>
      <c r="BN234" s="310"/>
    </row>
    <row r="235" spans="4:66" s="307" customFormat="1" x14ac:dyDescent="0.45">
      <c r="BM235" s="310"/>
      <c r="BN235" s="310"/>
    </row>
    <row r="236" spans="4:66" s="307" customFormat="1" x14ac:dyDescent="0.45">
      <c r="BM236" s="310"/>
      <c r="BN236" s="310"/>
    </row>
    <row r="237" spans="4:66" s="307" customFormat="1" x14ac:dyDescent="0.45">
      <c r="BM237" s="310"/>
      <c r="BN237" s="310"/>
    </row>
    <row r="238" spans="4:66" s="307" customFormat="1" x14ac:dyDescent="0.45">
      <c r="BM238" s="310"/>
      <c r="BN238" s="310"/>
    </row>
    <row r="239" spans="4:66" s="307" customFormat="1" x14ac:dyDescent="0.45">
      <c r="BM239" s="310"/>
      <c r="BN239" s="310"/>
    </row>
    <row r="240" spans="4:66" s="307" customFormat="1" x14ac:dyDescent="0.45">
      <c r="BM240" s="310"/>
      <c r="BN240" s="310"/>
    </row>
    <row r="241" spans="65:66" s="307" customFormat="1" x14ac:dyDescent="0.45">
      <c r="BM241" s="310"/>
      <c r="BN241" s="310"/>
    </row>
    <row r="242" spans="65:66" s="307" customFormat="1" x14ac:dyDescent="0.45">
      <c r="BM242" s="310"/>
      <c r="BN242" s="310"/>
    </row>
    <row r="243" spans="65:66" s="307" customFormat="1" x14ac:dyDescent="0.45">
      <c r="BM243" s="310"/>
      <c r="BN243" s="310"/>
    </row>
    <row r="244" spans="65:66" s="307" customFormat="1" x14ac:dyDescent="0.45">
      <c r="BM244" s="310"/>
      <c r="BN244" s="310"/>
    </row>
    <row r="245" spans="65:66" s="307" customFormat="1" x14ac:dyDescent="0.45">
      <c r="BM245" s="310"/>
      <c r="BN245" s="310"/>
    </row>
    <row r="246" spans="65:66" s="307" customFormat="1" x14ac:dyDescent="0.45">
      <c r="BM246" s="310"/>
      <c r="BN246" s="310"/>
    </row>
    <row r="247" spans="65:66" s="307" customFormat="1" x14ac:dyDescent="0.45">
      <c r="BM247" s="310"/>
      <c r="BN247" s="310"/>
    </row>
    <row r="248" spans="65:66" s="307" customFormat="1" x14ac:dyDescent="0.45">
      <c r="BM248" s="310"/>
      <c r="BN248" s="310"/>
    </row>
    <row r="249" spans="65:66" s="307" customFormat="1" x14ac:dyDescent="0.45">
      <c r="BM249" s="310"/>
      <c r="BN249" s="310"/>
    </row>
    <row r="250" spans="65:66" s="307" customFormat="1" x14ac:dyDescent="0.45">
      <c r="BM250" s="310"/>
      <c r="BN250" s="310"/>
    </row>
    <row r="251" spans="65:66" s="307" customFormat="1" x14ac:dyDescent="0.45">
      <c r="BM251" s="310"/>
      <c r="BN251" s="310"/>
    </row>
    <row r="252" spans="65:66" s="307" customFormat="1" x14ac:dyDescent="0.45">
      <c r="BM252" s="310"/>
      <c r="BN252" s="310"/>
    </row>
    <row r="253" spans="65:66" s="307" customFormat="1" x14ac:dyDescent="0.45">
      <c r="BM253" s="310"/>
      <c r="BN253" s="310"/>
    </row>
    <row r="254" spans="65:66" s="307" customFormat="1" x14ac:dyDescent="0.45">
      <c r="BM254" s="310"/>
      <c r="BN254" s="310"/>
    </row>
    <row r="255" spans="65:66" s="307" customFormat="1" x14ac:dyDescent="0.45">
      <c r="BM255" s="310"/>
      <c r="BN255" s="310"/>
    </row>
    <row r="256" spans="65:66" s="307" customFormat="1" x14ac:dyDescent="0.45">
      <c r="BM256" s="310"/>
      <c r="BN256" s="310"/>
    </row>
    <row r="257" spans="65:66" s="307" customFormat="1" x14ac:dyDescent="0.45">
      <c r="BM257" s="310"/>
      <c r="BN257" s="310"/>
    </row>
    <row r="258" spans="65:66" s="307" customFormat="1" x14ac:dyDescent="0.45">
      <c r="BM258" s="310"/>
      <c r="BN258" s="310"/>
    </row>
    <row r="259" spans="65:66" s="307" customFormat="1" x14ac:dyDescent="0.45">
      <c r="BM259" s="310"/>
      <c r="BN259" s="310"/>
    </row>
    <row r="260" spans="65:66" s="307" customFormat="1" x14ac:dyDescent="0.45">
      <c r="BM260" s="310"/>
      <c r="BN260" s="310"/>
    </row>
    <row r="261" spans="65:66" s="307" customFormat="1" x14ac:dyDescent="0.45">
      <c r="BM261" s="310"/>
      <c r="BN261" s="310"/>
    </row>
    <row r="262" spans="65:66" s="307" customFormat="1" x14ac:dyDescent="0.45">
      <c r="BM262" s="310"/>
      <c r="BN262" s="310"/>
    </row>
    <row r="263" spans="65:66" s="307" customFormat="1" x14ac:dyDescent="0.45">
      <c r="BM263" s="310"/>
      <c r="BN263" s="310"/>
    </row>
    <row r="264" spans="65:66" s="307" customFormat="1" x14ac:dyDescent="0.45">
      <c r="BM264" s="310"/>
      <c r="BN264" s="310"/>
    </row>
    <row r="265" spans="65:66" s="307" customFormat="1" x14ac:dyDescent="0.45">
      <c r="BM265" s="310"/>
      <c r="BN265" s="310"/>
    </row>
    <row r="266" spans="65:66" s="307" customFormat="1" x14ac:dyDescent="0.45">
      <c r="BM266" s="310"/>
      <c r="BN266" s="310"/>
    </row>
    <row r="267" spans="65:66" s="307" customFormat="1" x14ac:dyDescent="0.45">
      <c r="BM267" s="310"/>
      <c r="BN267" s="310"/>
    </row>
    <row r="268" spans="65:66" s="307" customFormat="1" x14ac:dyDescent="0.45">
      <c r="BM268" s="310"/>
      <c r="BN268" s="310"/>
    </row>
    <row r="269" spans="65:66" s="307" customFormat="1" x14ac:dyDescent="0.45">
      <c r="BM269" s="310"/>
      <c r="BN269" s="310"/>
    </row>
    <row r="270" spans="65:66" s="307" customFormat="1" x14ac:dyDescent="0.45">
      <c r="BM270" s="310"/>
      <c r="BN270" s="310"/>
    </row>
    <row r="271" spans="65:66" s="307" customFormat="1" x14ac:dyDescent="0.45">
      <c r="BM271" s="310"/>
      <c r="BN271" s="310"/>
    </row>
    <row r="272" spans="65:66" s="307" customFormat="1" x14ac:dyDescent="0.45">
      <c r="BM272" s="310"/>
      <c r="BN272" s="310"/>
    </row>
    <row r="273" spans="65:66" s="307" customFormat="1" x14ac:dyDescent="0.45">
      <c r="BM273" s="310"/>
      <c r="BN273" s="310"/>
    </row>
    <row r="274" spans="65:66" s="307" customFormat="1" x14ac:dyDescent="0.45">
      <c r="BM274" s="310"/>
      <c r="BN274" s="310"/>
    </row>
    <row r="275" spans="65:66" s="307" customFormat="1" x14ac:dyDescent="0.45">
      <c r="BM275" s="310"/>
      <c r="BN275" s="310"/>
    </row>
    <row r="276" spans="65:66" s="307" customFormat="1" x14ac:dyDescent="0.45">
      <c r="BM276" s="310"/>
      <c r="BN276" s="310"/>
    </row>
    <row r="277" spans="65:66" s="307" customFormat="1" x14ac:dyDescent="0.45">
      <c r="BM277" s="310"/>
      <c r="BN277" s="310"/>
    </row>
    <row r="278" spans="65:66" s="307" customFormat="1" x14ac:dyDescent="0.45">
      <c r="BM278" s="310"/>
      <c r="BN278" s="310"/>
    </row>
    <row r="279" spans="65:66" s="307" customFormat="1" x14ac:dyDescent="0.45">
      <c r="BM279" s="310"/>
      <c r="BN279" s="310"/>
    </row>
    <row r="280" spans="65:66" s="307" customFormat="1" x14ac:dyDescent="0.45">
      <c r="BM280" s="310"/>
      <c r="BN280" s="310"/>
    </row>
    <row r="281" spans="65:66" s="307" customFormat="1" x14ac:dyDescent="0.45">
      <c r="BM281" s="310"/>
      <c r="BN281" s="310"/>
    </row>
    <row r="282" spans="65:66" s="307" customFormat="1" x14ac:dyDescent="0.45">
      <c r="BM282" s="310"/>
      <c r="BN282" s="310"/>
    </row>
    <row r="283" spans="65:66" s="307" customFormat="1" x14ac:dyDescent="0.45">
      <c r="BM283" s="310"/>
      <c r="BN283" s="310"/>
    </row>
    <row r="284" spans="65:66" s="307" customFormat="1" x14ac:dyDescent="0.45">
      <c r="BM284" s="310"/>
      <c r="BN284" s="310"/>
    </row>
    <row r="285" spans="65:66" s="307" customFormat="1" x14ac:dyDescent="0.45">
      <c r="BM285" s="310"/>
      <c r="BN285" s="310"/>
    </row>
    <row r="286" spans="65:66" s="307" customFormat="1" x14ac:dyDescent="0.45">
      <c r="BM286" s="310"/>
      <c r="BN286" s="310"/>
    </row>
    <row r="287" spans="65:66" s="307" customFormat="1" x14ac:dyDescent="0.45">
      <c r="BM287" s="310"/>
      <c r="BN287" s="310"/>
    </row>
    <row r="288" spans="65:66" s="307" customFormat="1" x14ac:dyDescent="0.45">
      <c r="BM288" s="310"/>
      <c r="BN288" s="310"/>
    </row>
    <row r="289" spans="65:66" s="307" customFormat="1" x14ac:dyDescent="0.45">
      <c r="BM289" s="310"/>
      <c r="BN289" s="310"/>
    </row>
    <row r="290" spans="65:66" s="307" customFormat="1" x14ac:dyDescent="0.45">
      <c r="BM290" s="310"/>
      <c r="BN290" s="310"/>
    </row>
    <row r="291" spans="65:66" s="307" customFormat="1" x14ac:dyDescent="0.45">
      <c r="BM291" s="310"/>
      <c r="BN291" s="310"/>
    </row>
    <row r="292" spans="65:66" s="307" customFormat="1" x14ac:dyDescent="0.45">
      <c r="BM292" s="310"/>
      <c r="BN292" s="310"/>
    </row>
    <row r="293" spans="65:66" s="307" customFormat="1" x14ac:dyDescent="0.45">
      <c r="BM293" s="310"/>
      <c r="BN293" s="310"/>
    </row>
    <row r="294" spans="65:66" s="307" customFormat="1" x14ac:dyDescent="0.45">
      <c r="BM294" s="310"/>
      <c r="BN294" s="310"/>
    </row>
    <row r="295" spans="65:66" s="307" customFormat="1" x14ac:dyDescent="0.45">
      <c r="BM295" s="310"/>
      <c r="BN295" s="310"/>
    </row>
    <row r="296" spans="65:66" s="307" customFormat="1" x14ac:dyDescent="0.45">
      <c r="BM296" s="310"/>
      <c r="BN296" s="310"/>
    </row>
    <row r="297" spans="65:66" s="307" customFormat="1" x14ac:dyDescent="0.45">
      <c r="BM297" s="310"/>
      <c r="BN297" s="310"/>
    </row>
    <row r="298" spans="65:66" s="307" customFormat="1" x14ac:dyDescent="0.45">
      <c r="BM298" s="310"/>
      <c r="BN298" s="310"/>
    </row>
    <row r="299" spans="65:66" s="307" customFormat="1" x14ac:dyDescent="0.45">
      <c r="BM299" s="310"/>
      <c r="BN299" s="310"/>
    </row>
    <row r="300" spans="65:66" s="307" customFormat="1" x14ac:dyDescent="0.45">
      <c r="BM300" s="310"/>
      <c r="BN300" s="310"/>
    </row>
    <row r="301" spans="65:66" s="307" customFormat="1" x14ac:dyDescent="0.45">
      <c r="BM301" s="310"/>
      <c r="BN301" s="310"/>
    </row>
    <row r="302" spans="65:66" s="307" customFormat="1" x14ac:dyDescent="0.45">
      <c r="BM302" s="310"/>
      <c r="BN302" s="310"/>
    </row>
    <row r="303" spans="65:66" s="307" customFormat="1" x14ac:dyDescent="0.45">
      <c r="BM303" s="310"/>
      <c r="BN303" s="310"/>
    </row>
    <row r="304" spans="65:66" s="307" customFormat="1" x14ac:dyDescent="0.45">
      <c r="BM304" s="310"/>
      <c r="BN304" s="310"/>
    </row>
    <row r="305" spans="65:66" s="307" customFormat="1" x14ac:dyDescent="0.45">
      <c r="BM305" s="310"/>
      <c r="BN305" s="310"/>
    </row>
    <row r="306" spans="65:66" s="307" customFormat="1" x14ac:dyDescent="0.45">
      <c r="BM306" s="310"/>
      <c r="BN306" s="310"/>
    </row>
    <row r="307" spans="65:66" s="307" customFormat="1" x14ac:dyDescent="0.45">
      <c r="BM307" s="310"/>
      <c r="BN307" s="310"/>
    </row>
    <row r="308" spans="65:66" s="307" customFormat="1" x14ac:dyDescent="0.45">
      <c r="BM308" s="310"/>
      <c r="BN308" s="310"/>
    </row>
    <row r="309" spans="65:66" s="307" customFormat="1" x14ac:dyDescent="0.45">
      <c r="BM309" s="310"/>
      <c r="BN309" s="310"/>
    </row>
    <row r="310" spans="65:66" s="307" customFormat="1" x14ac:dyDescent="0.45">
      <c r="BM310" s="310"/>
      <c r="BN310" s="310"/>
    </row>
    <row r="311" spans="65:66" s="307" customFormat="1" x14ac:dyDescent="0.45">
      <c r="BM311" s="310"/>
      <c r="BN311" s="310"/>
    </row>
    <row r="312" spans="65:66" s="307" customFormat="1" x14ac:dyDescent="0.45">
      <c r="BM312" s="310"/>
      <c r="BN312" s="310"/>
    </row>
    <row r="313" spans="65:66" s="307" customFormat="1" x14ac:dyDescent="0.45">
      <c r="BM313" s="310"/>
      <c r="BN313" s="310"/>
    </row>
    <row r="314" spans="65:66" s="307" customFormat="1" x14ac:dyDescent="0.45">
      <c r="BM314" s="310"/>
      <c r="BN314" s="310"/>
    </row>
    <row r="315" spans="65:66" s="307" customFormat="1" x14ac:dyDescent="0.45">
      <c r="BM315" s="310"/>
      <c r="BN315" s="310"/>
    </row>
    <row r="316" spans="65:66" s="307" customFormat="1" x14ac:dyDescent="0.45">
      <c r="BM316" s="310"/>
      <c r="BN316" s="310"/>
    </row>
    <row r="317" spans="65:66" s="307" customFormat="1" x14ac:dyDescent="0.45">
      <c r="BM317" s="310"/>
      <c r="BN317" s="310"/>
    </row>
    <row r="318" spans="65:66" s="307" customFormat="1" x14ac:dyDescent="0.45">
      <c r="BM318" s="310"/>
      <c r="BN318" s="310"/>
    </row>
    <row r="319" spans="65:66" s="307" customFormat="1" x14ac:dyDescent="0.45">
      <c r="BM319" s="310"/>
      <c r="BN319" s="310"/>
    </row>
    <row r="320" spans="65:66" s="307" customFormat="1" x14ac:dyDescent="0.45">
      <c r="BM320" s="310"/>
      <c r="BN320" s="310"/>
    </row>
    <row r="321" spans="65:66" s="307" customFormat="1" x14ac:dyDescent="0.45">
      <c r="BM321" s="310"/>
      <c r="BN321" s="310"/>
    </row>
    <row r="322" spans="65:66" s="307" customFormat="1" x14ac:dyDescent="0.45">
      <c r="BM322" s="310"/>
      <c r="BN322" s="310"/>
    </row>
    <row r="323" spans="65:66" s="307" customFormat="1" x14ac:dyDescent="0.45">
      <c r="BM323" s="310"/>
      <c r="BN323" s="310"/>
    </row>
    <row r="324" spans="65:66" s="307" customFormat="1" x14ac:dyDescent="0.45">
      <c r="BM324" s="310"/>
      <c r="BN324" s="310"/>
    </row>
    <row r="325" spans="65:66" s="307" customFormat="1" x14ac:dyDescent="0.45">
      <c r="BM325" s="310"/>
      <c r="BN325" s="310"/>
    </row>
    <row r="326" spans="65:66" s="307" customFormat="1" x14ac:dyDescent="0.45">
      <c r="BM326" s="310"/>
      <c r="BN326" s="310"/>
    </row>
    <row r="327" spans="65:66" s="307" customFormat="1" x14ac:dyDescent="0.45">
      <c r="BM327" s="310"/>
      <c r="BN327" s="310"/>
    </row>
    <row r="328" spans="65:66" s="307" customFormat="1" x14ac:dyDescent="0.45">
      <c r="BM328" s="310"/>
      <c r="BN328" s="310"/>
    </row>
    <row r="329" spans="65:66" s="307" customFormat="1" x14ac:dyDescent="0.45">
      <c r="BM329" s="310"/>
      <c r="BN329" s="310"/>
    </row>
    <row r="330" spans="65:66" s="307" customFormat="1" x14ac:dyDescent="0.45">
      <c r="BM330" s="310"/>
      <c r="BN330" s="310"/>
    </row>
    <row r="331" spans="65:66" s="307" customFormat="1" x14ac:dyDescent="0.45">
      <c r="BM331" s="310"/>
      <c r="BN331" s="310"/>
    </row>
    <row r="332" spans="65:66" s="307" customFormat="1" x14ac:dyDescent="0.45">
      <c r="BM332" s="310"/>
      <c r="BN332" s="310"/>
    </row>
    <row r="333" spans="65:66" s="307" customFormat="1" x14ac:dyDescent="0.45">
      <c r="BM333" s="310"/>
      <c r="BN333" s="310"/>
    </row>
    <row r="334" spans="65:66" s="307" customFormat="1" x14ac:dyDescent="0.45">
      <c r="BM334" s="310"/>
      <c r="BN334" s="310"/>
    </row>
    <row r="335" spans="65:66" s="307" customFormat="1" x14ac:dyDescent="0.45">
      <c r="BM335" s="310"/>
      <c r="BN335" s="310"/>
    </row>
    <row r="336" spans="65:66" s="307" customFormat="1" x14ac:dyDescent="0.45">
      <c r="BM336" s="310"/>
      <c r="BN336" s="310"/>
    </row>
    <row r="337" spans="65:66" s="307" customFormat="1" x14ac:dyDescent="0.45">
      <c r="BM337" s="310"/>
      <c r="BN337" s="310"/>
    </row>
    <row r="338" spans="65:66" s="307" customFormat="1" x14ac:dyDescent="0.45">
      <c r="BM338" s="310"/>
      <c r="BN338" s="310"/>
    </row>
    <row r="339" spans="65:66" s="307" customFormat="1" x14ac:dyDescent="0.45">
      <c r="BM339" s="310"/>
      <c r="BN339" s="310"/>
    </row>
    <row r="340" spans="65:66" s="307" customFormat="1" x14ac:dyDescent="0.45">
      <c r="BM340" s="310"/>
      <c r="BN340" s="310"/>
    </row>
    <row r="341" spans="65:66" s="307" customFormat="1" x14ac:dyDescent="0.45">
      <c r="BM341" s="310"/>
      <c r="BN341" s="310"/>
    </row>
    <row r="342" spans="65:66" s="307" customFormat="1" x14ac:dyDescent="0.45">
      <c r="BM342" s="310"/>
      <c r="BN342" s="310"/>
    </row>
    <row r="343" spans="65:66" s="307" customFormat="1" x14ac:dyDescent="0.45">
      <c r="BM343" s="310"/>
      <c r="BN343" s="310"/>
    </row>
    <row r="344" spans="65:66" s="307" customFormat="1" x14ac:dyDescent="0.45">
      <c r="BM344" s="310"/>
      <c r="BN344" s="310"/>
    </row>
    <row r="345" spans="65:66" s="307" customFormat="1" x14ac:dyDescent="0.45">
      <c r="BM345" s="310"/>
      <c r="BN345" s="310"/>
    </row>
    <row r="346" spans="65:66" s="307" customFormat="1" x14ac:dyDescent="0.45">
      <c r="BM346" s="310"/>
      <c r="BN346" s="310"/>
    </row>
    <row r="347" spans="65:66" s="307" customFormat="1" x14ac:dyDescent="0.45">
      <c r="BM347" s="310"/>
      <c r="BN347" s="310"/>
    </row>
    <row r="348" spans="65:66" s="307" customFormat="1" x14ac:dyDescent="0.45">
      <c r="BM348" s="310"/>
      <c r="BN348" s="310"/>
    </row>
    <row r="349" spans="65:66" s="307" customFormat="1" x14ac:dyDescent="0.45">
      <c r="BM349" s="310"/>
      <c r="BN349" s="310"/>
    </row>
    <row r="350" spans="65:66" s="307" customFormat="1" x14ac:dyDescent="0.45">
      <c r="BM350" s="310"/>
      <c r="BN350" s="310"/>
    </row>
    <row r="351" spans="65:66" s="307" customFormat="1" x14ac:dyDescent="0.45">
      <c r="BM351" s="310"/>
      <c r="BN351" s="310"/>
    </row>
    <row r="352" spans="65:66" s="307" customFormat="1" x14ac:dyDescent="0.45">
      <c r="BM352" s="310"/>
      <c r="BN352" s="310"/>
    </row>
    <row r="353" spans="65:66" s="307" customFormat="1" x14ac:dyDescent="0.45">
      <c r="BM353" s="310"/>
      <c r="BN353" s="310"/>
    </row>
    <row r="354" spans="65:66" s="307" customFormat="1" x14ac:dyDescent="0.45">
      <c r="BM354" s="310"/>
      <c r="BN354" s="310"/>
    </row>
    <row r="355" spans="65:66" s="307" customFormat="1" x14ac:dyDescent="0.45">
      <c r="BM355" s="310"/>
      <c r="BN355" s="310"/>
    </row>
    <row r="356" spans="65:66" s="307" customFormat="1" x14ac:dyDescent="0.45">
      <c r="BM356" s="310"/>
      <c r="BN356" s="310"/>
    </row>
    <row r="357" spans="65:66" s="307" customFormat="1" x14ac:dyDescent="0.45">
      <c r="BM357" s="310"/>
      <c r="BN357" s="310"/>
    </row>
    <row r="358" spans="65:66" s="307" customFormat="1" x14ac:dyDescent="0.45">
      <c r="BM358" s="310"/>
      <c r="BN358" s="310"/>
    </row>
    <row r="359" spans="65:66" s="307" customFormat="1" x14ac:dyDescent="0.45">
      <c r="BM359" s="310"/>
      <c r="BN359" s="310"/>
    </row>
    <row r="360" spans="65:66" s="307" customFormat="1" x14ac:dyDescent="0.45">
      <c r="BM360" s="310"/>
      <c r="BN360" s="310"/>
    </row>
    <row r="361" spans="65:66" s="307" customFormat="1" x14ac:dyDescent="0.45">
      <c r="BM361" s="310"/>
      <c r="BN361" s="310"/>
    </row>
    <row r="362" spans="65:66" s="307" customFormat="1" x14ac:dyDescent="0.45">
      <c r="BM362" s="310"/>
      <c r="BN362" s="310"/>
    </row>
    <row r="363" spans="65:66" s="307" customFormat="1" x14ac:dyDescent="0.45">
      <c r="BM363" s="310"/>
      <c r="BN363" s="310"/>
    </row>
    <row r="364" spans="65:66" s="307" customFormat="1" x14ac:dyDescent="0.45">
      <c r="BM364" s="310"/>
      <c r="BN364" s="310"/>
    </row>
    <row r="365" spans="65:66" s="307" customFormat="1" x14ac:dyDescent="0.45">
      <c r="BM365" s="310"/>
      <c r="BN365" s="310"/>
    </row>
    <row r="366" spans="65:66" s="307" customFormat="1" x14ac:dyDescent="0.45">
      <c r="BM366" s="310"/>
      <c r="BN366" s="310"/>
    </row>
    <row r="367" spans="65:66" s="307" customFormat="1" x14ac:dyDescent="0.45">
      <c r="BM367" s="310"/>
      <c r="BN367" s="310"/>
    </row>
    <row r="368" spans="65:66" s="307" customFormat="1" x14ac:dyDescent="0.45">
      <c r="BM368" s="310"/>
      <c r="BN368" s="310"/>
    </row>
    <row r="369" spans="65:66" s="307" customFormat="1" x14ac:dyDescent="0.45">
      <c r="BM369" s="310"/>
      <c r="BN369" s="310"/>
    </row>
    <row r="370" spans="65:66" s="307" customFormat="1" x14ac:dyDescent="0.45">
      <c r="BM370" s="310"/>
      <c r="BN370" s="310"/>
    </row>
    <row r="371" spans="65:66" s="307" customFormat="1" x14ac:dyDescent="0.45">
      <c r="BM371" s="310"/>
      <c r="BN371" s="310"/>
    </row>
    <row r="372" spans="65:66" s="307" customFormat="1" x14ac:dyDescent="0.45">
      <c r="BM372" s="310"/>
      <c r="BN372" s="310"/>
    </row>
    <row r="373" spans="65:66" s="307" customFormat="1" x14ac:dyDescent="0.45">
      <c r="BM373" s="310"/>
      <c r="BN373" s="310"/>
    </row>
    <row r="374" spans="65:66" s="307" customFormat="1" x14ac:dyDescent="0.45">
      <c r="BM374" s="310"/>
      <c r="BN374" s="310"/>
    </row>
    <row r="375" spans="65:66" s="307" customFormat="1" x14ac:dyDescent="0.45">
      <c r="BM375" s="310"/>
      <c r="BN375" s="310"/>
    </row>
    <row r="376" spans="65:66" s="307" customFormat="1" x14ac:dyDescent="0.45">
      <c r="BM376" s="310"/>
      <c r="BN376" s="310"/>
    </row>
    <row r="377" spans="65:66" s="307" customFormat="1" x14ac:dyDescent="0.45">
      <c r="BM377" s="310"/>
      <c r="BN377" s="310"/>
    </row>
    <row r="378" spans="65:66" s="307" customFormat="1" x14ac:dyDescent="0.45">
      <c r="BM378" s="310"/>
      <c r="BN378" s="310"/>
    </row>
    <row r="379" spans="65:66" s="307" customFormat="1" x14ac:dyDescent="0.45">
      <c r="BM379" s="310"/>
      <c r="BN379" s="310"/>
    </row>
  </sheetData>
  <sheetProtection algorithmName="SHA-512" hashValue="kM2sQVyBdM8fYYtQqKd0QUIA2UIt5x/IifTF1P2fjHG4rzhpenZphPs3fwdZRhr9vMk87Nen+J1KzGPpltxsEw==" saltValue="IBdP0M6RNwBd2uWB6ItcGg==" spinCount="100000" sheet="1" objects="1" scenarios="1"/>
  <mergeCells count="16">
    <mergeCell ref="B2:L3"/>
    <mergeCell ref="B11:L11"/>
    <mergeCell ref="B42:L42"/>
    <mergeCell ref="B112:L112"/>
    <mergeCell ref="B208:E208"/>
    <mergeCell ref="B124:C124"/>
    <mergeCell ref="B87:F88"/>
    <mergeCell ref="G87:J88"/>
    <mergeCell ref="G97:I97"/>
    <mergeCell ref="B97:B98"/>
    <mergeCell ref="C97:F98"/>
    <mergeCell ref="B19:J19"/>
    <mergeCell ref="B13:D13"/>
    <mergeCell ref="D60:E60"/>
    <mergeCell ref="B60:C60"/>
    <mergeCell ref="F60:H60"/>
  </mergeCells>
  <dataValidations count="1">
    <dataValidation type="list" allowBlank="1" showInputMessage="1" showErrorMessage="1" sqref="C100:E100 C84 C90 C87:C88 E109 E111" xr:uid="{3C31A7CC-8693-4808-AE1B-857C92DBC7C1}">
      <formula1>#REF!</formula1>
    </dataValidation>
  </dataValidations>
  <pageMargins left="0.7" right="0.7" top="0.75" bottom="0.75" header="0.3" footer="0.3"/>
  <pageSetup paperSize="9" orientation="portrait" r:id="rId1"/>
  <headerFooter>
    <oddFooter>&amp;C_x000D_&amp;1#&amp;"Calibri"&amp;10&amp;K000000 [UNCLASSIFIED]</oddFooter>
  </headerFooter>
  <drawing r:id="rId2"/>
  <extLst>
    <ext xmlns:x14="http://schemas.microsoft.com/office/spreadsheetml/2009/9/main" uri="{78C0D931-6437-407d-A8EE-F0AAD7539E65}">
      <x14:conditionalFormattings>
        <x14:conditionalFormatting xmlns:xm="http://schemas.microsoft.com/office/excel/2006/main">
          <x14:cfRule type="iconSet" priority="3" id="{91FE634E-4EC8-4B91-956D-4D7954FEBC9F}">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E133:E137</xm:sqref>
        </x14:conditionalFormatting>
        <x14:conditionalFormatting xmlns:xm="http://schemas.microsoft.com/office/excel/2006/main">
          <x14:cfRule type="iconSet" priority="4" id="{0FF39671-50A7-491C-83C9-AAEAB58AAC90}">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E145:E151</xm:sqref>
        </x14:conditionalFormatting>
        <x14:conditionalFormatting xmlns:xm="http://schemas.microsoft.com/office/excel/2006/main">
          <x14:cfRule type="iconSet" priority="6" id="{85E0FC64-BC28-4A33-AF89-DD057A6CEDC9}">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E152:E153</xm:sqref>
        </x14:conditionalFormatting>
        <x14:conditionalFormatting xmlns:xm="http://schemas.microsoft.com/office/excel/2006/main">
          <x14:cfRule type="iconSet" priority="20" id="{9A6C80DE-3DC6-49DA-AD94-70920F40F4D0}">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E117:E125</xm:sqref>
        </x14:conditionalFormatting>
        <x14:conditionalFormatting xmlns:xm="http://schemas.microsoft.com/office/excel/2006/main">
          <x14:cfRule type="iconSet" priority="27" id="{266FCCC9-0407-4D90-8A83-81DE4D429A45}">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E140:E143</xm:sqref>
        </x14:conditionalFormatting>
        <x14:conditionalFormatting xmlns:xm="http://schemas.microsoft.com/office/excel/2006/main">
          <x14:cfRule type="iconSet" priority="29" id="{393030A8-4024-4F11-8860-B1015B5E63C5}">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E127:E132</xm:sqref>
        </x14:conditionalFormatting>
        <x14:conditionalFormatting xmlns:xm="http://schemas.microsoft.com/office/excel/2006/main">
          <x14:cfRule type="iconSet" priority="30" id="{0BB7FFEA-B75B-4FB2-A426-8DC632A05A7E}">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E156:E158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F48B3F4-79E1-456C-B0ED-08FB7CA36E8A}">
          <x14:formula1>
            <xm:f>Codes!$N$4:$N$5</xm:f>
          </x14:formula1>
          <xm:sqref>C97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17503-550C-4106-B9C5-114E7E7B7702}">
  <sheetPr>
    <tabColor theme="1"/>
  </sheetPr>
  <dimension ref="A1:AF123"/>
  <sheetViews>
    <sheetView topLeftCell="A37" workbookViewId="0">
      <selection activeCell="J12" sqref="J12"/>
    </sheetView>
  </sheetViews>
  <sheetFormatPr defaultRowHeight="14.25" x14ac:dyDescent="0.45"/>
  <cols>
    <col min="2" max="2" width="33.3984375" customWidth="1"/>
    <col min="3" max="3" width="24.3984375" customWidth="1"/>
    <col min="4" max="4" width="22.86328125" customWidth="1"/>
    <col min="5" max="5" width="16.1328125" customWidth="1"/>
    <col min="6" max="6" width="13.1328125" bestFit="1" customWidth="1"/>
    <col min="7" max="7" width="14" bestFit="1" customWidth="1"/>
    <col min="8" max="8" width="11.73046875" bestFit="1" customWidth="1"/>
    <col min="10" max="10" width="11.3984375" customWidth="1"/>
    <col min="11" max="11" width="20.1328125" bestFit="1" customWidth="1"/>
    <col min="12" max="12" width="28.86328125" bestFit="1" customWidth="1"/>
    <col min="13" max="13" width="34" bestFit="1" customWidth="1"/>
    <col min="14" max="14" width="62.1328125" bestFit="1" customWidth="1"/>
    <col min="15" max="15" width="12.86328125" bestFit="1" customWidth="1"/>
    <col min="16" max="16" width="7.3984375" customWidth="1"/>
    <col min="17" max="17" width="9.59765625" bestFit="1" customWidth="1"/>
    <col min="18" max="18" width="13.86328125" bestFit="1" customWidth="1"/>
    <col min="19" max="19" width="14.265625" customWidth="1"/>
    <col min="20" max="20" width="18.3984375" customWidth="1"/>
    <col min="21" max="21" width="12.265625" customWidth="1"/>
    <col min="22" max="22" width="8.265625" bestFit="1" customWidth="1"/>
    <col min="23" max="23" width="14" customWidth="1"/>
    <col min="24" max="24" width="13.86328125" customWidth="1"/>
    <col min="25" max="25" width="14.1328125" customWidth="1"/>
    <col min="26" max="27" width="13" bestFit="1" customWidth="1"/>
    <col min="28" max="28" width="15.1328125" customWidth="1"/>
    <col min="29" max="29" width="11.3984375" customWidth="1"/>
    <col min="30" max="30" width="13.59765625" customWidth="1"/>
  </cols>
  <sheetData>
    <row r="1" spans="1:32" x14ac:dyDescent="0.45">
      <c r="A1" s="485"/>
      <c r="B1" s="554" t="s">
        <v>293</v>
      </c>
      <c r="C1" s="554" t="s">
        <v>294</v>
      </c>
      <c r="D1" s="555" t="s">
        <v>295</v>
      </c>
      <c r="E1" s="554" t="s">
        <v>296</v>
      </c>
      <c r="F1" s="556"/>
      <c r="G1" s="557" t="s">
        <v>62</v>
      </c>
      <c r="H1" s="558" t="s">
        <v>265</v>
      </c>
      <c r="I1" s="557"/>
      <c r="J1" s="559">
        <v>0</v>
      </c>
      <c r="K1" s="556" t="s">
        <v>297</v>
      </c>
      <c r="L1" s="556" t="s">
        <v>298</v>
      </c>
      <c r="M1" s="556" t="s">
        <v>151</v>
      </c>
      <c r="N1" s="556"/>
      <c r="O1" s="560" t="s">
        <v>268</v>
      </c>
      <c r="P1" s="560" t="s">
        <v>269</v>
      </c>
      <c r="Q1" s="560" t="s">
        <v>270</v>
      </c>
      <c r="R1" s="556"/>
      <c r="S1" s="556"/>
      <c r="T1" s="556" t="s">
        <v>375</v>
      </c>
      <c r="U1" s="556"/>
      <c r="V1" s="556"/>
      <c r="W1" s="556"/>
      <c r="X1" s="556"/>
      <c r="Y1" s="556"/>
      <c r="Z1" s="556"/>
      <c r="AA1" s="485"/>
      <c r="AB1" s="485"/>
      <c r="AC1" s="485"/>
      <c r="AD1" s="485"/>
      <c r="AE1" s="485"/>
      <c r="AF1" s="485"/>
    </row>
    <row r="2" spans="1:32" x14ac:dyDescent="0.45">
      <c r="A2" s="485"/>
      <c r="B2" s="556" t="str">
        <f>B11</f>
        <v xml:space="preserve">Urban Auckland </v>
      </c>
      <c r="C2" s="556" t="str">
        <f>C12</f>
        <v>Couple Only</v>
      </c>
      <c r="D2" s="561">
        <v>0</v>
      </c>
      <c r="E2" s="556" t="s">
        <v>299</v>
      </c>
      <c r="F2" s="557" t="s">
        <v>69</v>
      </c>
      <c r="G2" s="557" t="s">
        <v>64</v>
      </c>
      <c r="H2" s="557" t="s">
        <v>300</v>
      </c>
      <c r="I2" s="557"/>
      <c r="J2" s="559">
        <v>0.03</v>
      </c>
      <c r="K2" s="556" t="s">
        <v>301</v>
      </c>
      <c r="L2" s="556" t="s">
        <v>302</v>
      </c>
      <c r="M2" s="556" t="s">
        <v>157</v>
      </c>
      <c r="N2" s="556" t="s">
        <v>303</v>
      </c>
      <c r="O2" s="562"/>
      <c r="P2" s="562"/>
      <c r="Q2" s="562">
        <v>1</v>
      </c>
      <c r="R2" s="556"/>
      <c r="S2" s="556"/>
      <c r="T2" s="556" t="s">
        <v>376</v>
      </c>
      <c r="U2" s="556"/>
      <c r="V2" s="556"/>
      <c r="W2" s="556"/>
      <c r="X2" s="556"/>
      <c r="Y2" s="556"/>
      <c r="Z2" s="556"/>
      <c r="AA2" s="485"/>
      <c r="AB2" s="485"/>
      <c r="AC2" s="485"/>
      <c r="AD2" s="485"/>
      <c r="AE2" s="485"/>
      <c r="AF2" s="485"/>
    </row>
    <row r="3" spans="1:32" ht="15.75" x14ac:dyDescent="0.5">
      <c r="A3" s="485"/>
      <c r="B3" s="556" t="str">
        <f>B30</f>
        <v xml:space="preserve">Urban Waikato/Bay of Plenty </v>
      </c>
      <c r="C3" s="556" t="str">
        <f>D12</f>
        <v>Couple with 1 dependent child</v>
      </c>
      <c r="D3" s="563">
        <v>0.03</v>
      </c>
      <c r="E3" s="556" t="s">
        <v>304</v>
      </c>
      <c r="F3" s="557" t="s">
        <v>71</v>
      </c>
      <c r="G3" s="557" t="s">
        <v>305</v>
      </c>
      <c r="H3" s="557" t="s">
        <v>306</v>
      </c>
      <c r="I3" s="557"/>
      <c r="J3" s="559">
        <v>0.04</v>
      </c>
      <c r="K3" s="556"/>
      <c r="L3" s="556"/>
      <c r="M3" s="556" t="s">
        <v>159</v>
      </c>
      <c r="N3" s="556" t="s">
        <v>307</v>
      </c>
      <c r="O3" s="562">
        <v>0.1</v>
      </c>
      <c r="P3" s="562"/>
      <c r="Q3" s="562">
        <v>0.9</v>
      </c>
      <c r="R3" s="556"/>
      <c r="S3" s="556"/>
      <c r="T3" s="556"/>
      <c r="U3" s="556"/>
      <c r="V3" s="556"/>
      <c r="W3" s="556"/>
      <c r="X3" s="556"/>
      <c r="Y3" s="556"/>
      <c r="Z3" s="556"/>
      <c r="AA3" s="485"/>
      <c r="AB3" s="485"/>
      <c r="AC3" s="485"/>
      <c r="AD3" s="485"/>
      <c r="AE3" s="485"/>
      <c r="AF3" s="485"/>
    </row>
    <row r="4" spans="1:32" ht="15.75" x14ac:dyDescent="0.5">
      <c r="A4" s="485"/>
      <c r="B4" s="556" t="str">
        <f>B49</f>
        <v xml:space="preserve">Urban Wellington </v>
      </c>
      <c r="C4" s="556" t="str">
        <f>E12</f>
        <v>Couple with 2 dependent children</v>
      </c>
      <c r="D4" s="563">
        <v>0.04</v>
      </c>
      <c r="E4" s="556" t="s">
        <v>308</v>
      </c>
      <c r="F4" s="557"/>
      <c r="G4" s="557"/>
      <c r="H4" s="556"/>
      <c r="I4" s="556"/>
      <c r="J4" s="559">
        <v>0.06</v>
      </c>
      <c r="K4" s="556"/>
      <c r="L4" s="556"/>
      <c r="M4" s="556" t="s">
        <v>161</v>
      </c>
      <c r="N4" s="556" t="s">
        <v>272</v>
      </c>
      <c r="O4" s="562">
        <v>0.3</v>
      </c>
      <c r="P4" s="562">
        <v>0.3</v>
      </c>
      <c r="Q4" s="562">
        <v>0.4</v>
      </c>
      <c r="R4" s="556"/>
      <c r="S4" s="556"/>
      <c r="T4" s="556"/>
      <c r="U4" s="556"/>
      <c r="V4" s="556"/>
      <c r="W4" s="556"/>
      <c r="X4" s="556"/>
      <c r="Y4" s="556"/>
      <c r="Z4" s="556"/>
      <c r="AA4" s="485"/>
      <c r="AB4" s="485"/>
      <c r="AC4" s="485"/>
      <c r="AD4" s="485"/>
      <c r="AE4" s="485"/>
      <c r="AF4" s="485"/>
    </row>
    <row r="5" spans="1:32" ht="15.75" x14ac:dyDescent="0.5">
      <c r="A5" s="485"/>
      <c r="B5" s="556" t="str">
        <f>B68</f>
        <v xml:space="preserve">Rest of Urban North Island </v>
      </c>
      <c r="C5" s="556" t="str">
        <f>F12</f>
        <v>Couple with 3 dependent children</v>
      </c>
      <c r="D5" s="563">
        <v>0.06</v>
      </c>
      <c r="E5" s="556"/>
      <c r="F5" s="557"/>
      <c r="G5" s="557"/>
      <c r="H5" s="556"/>
      <c r="I5" s="556"/>
      <c r="J5" s="559">
        <v>0.08</v>
      </c>
      <c r="K5" s="556"/>
      <c r="L5" s="556"/>
      <c r="M5" s="556" t="s">
        <v>163</v>
      </c>
      <c r="N5" s="556" t="s">
        <v>309</v>
      </c>
      <c r="O5" s="562"/>
      <c r="P5" s="562">
        <v>0.5</v>
      </c>
      <c r="Q5" s="562">
        <v>0.5</v>
      </c>
      <c r="R5" s="556"/>
      <c r="S5" s="556"/>
      <c r="T5" s="556"/>
      <c r="U5" s="556"/>
      <c r="V5" s="556"/>
      <c r="W5" s="556"/>
      <c r="X5" s="556"/>
      <c r="Y5" s="556"/>
      <c r="Z5" s="556"/>
      <c r="AA5" s="485"/>
      <c r="AB5" s="485"/>
      <c r="AC5" s="485"/>
      <c r="AD5" s="485"/>
      <c r="AE5" s="485"/>
      <c r="AF5" s="485"/>
    </row>
    <row r="6" spans="1:32" ht="15.75" x14ac:dyDescent="0.5">
      <c r="A6" s="485"/>
      <c r="B6" s="556" t="str">
        <f>B87</f>
        <v xml:space="preserve">Urban South Island </v>
      </c>
      <c r="C6" s="556" t="str">
        <f>G12</f>
        <v>1 parent with dependent child(ren)</v>
      </c>
      <c r="D6" s="563">
        <v>0.08</v>
      </c>
      <c r="E6" s="556"/>
      <c r="F6" s="556"/>
      <c r="G6" s="556"/>
      <c r="H6" s="556"/>
      <c r="I6" s="556"/>
      <c r="J6" s="559">
        <v>0.1</v>
      </c>
      <c r="K6" s="556"/>
      <c r="L6" s="556"/>
      <c r="M6" s="556" t="s">
        <v>165</v>
      </c>
      <c r="N6" s="556"/>
      <c r="O6" s="556"/>
      <c r="P6" s="556"/>
      <c r="Q6" s="556"/>
      <c r="R6" s="556"/>
      <c r="S6" s="556"/>
      <c r="T6" s="556"/>
      <c r="U6" s="556"/>
      <c r="V6" s="556"/>
      <c r="W6" s="556"/>
      <c r="X6" s="556"/>
      <c r="Y6" s="556"/>
      <c r="Z6" s="556"/>
      <c r="AA6" s="485"/>
      <c r="AB6" s="485"/>
      <c r="AC6" s="485"/>
      <c r="AD6" s="485"/>
      <c r="AE6" s="485"/>
      <c r="AF6" s="485"/>
    </row>
    <row r="7" spans="1:32" ht="15.75" x14ac:dyDescent="0.5">
      <c r="A7" s="485"/>
      <c r="B7" s="556" t="str">
        <f>B106</f>
        <v xml:space="preserve">Rural </v>
      </c>
      <c r="C7" s="556" t="str">
        <f>H12</f>
        <v>1 person</v>
      </c>
      <c r="D7" s="563">
        <v>0.1</v>
      </c>
      <c r="E7" s="556"/>
      <c r="F7" s="556"/>
      <c r="G7" s="556"/>
      <c r="H7" s="556"/>
      <c r="I7" s="556"/>
      <c r="J7" s="556"/>
      <c r="K7" s="556"/>
      <c r="L7" s="556"/>
      <c r="M7" s="556"/>
      <c r="N7" s="556"/>
      <c r="O7" s="556"/>
      <c r="P7" s="556"/>
      <c r="Q7" s="556"/>
      <c r="R7" s="556"/>
      <c r="S7" s="556"/>
      <c r="T7" s="556"/>
      <c r="U7" s="556"/>
      <c r="V7" s="556"/>
      <c r="W7" s="556"/>
      <c r="X7" s="556"/>
      <c r="Y7" s="556"/>
      <c r="Z7" s="556"/>
      <c r="AA7" s="485"/>
      <c r="AB7" s="485"/>
      <c r="AC7" s="485"/>
      <c r="AD7" s="485"/>
      <c r="AE7" s="485"/>
      <c r="AF7" s="485"/>
    </row>
    <row r="8" spans="1:32" x14ac:dyDescent="0.45">
      <c r="A8" s="485"/>
      <c r="B8" s="556"/>
      <c r="C8" s="556"/>
      <c r="D8" s="556"/>
      <c r="E8" s="556"/>
      <c r="F8" s="556"/>
      <c r="G8" s="556"/>
      <c r="H8" s="556"/>
      <c r="I8" s="556"/>
      <c r="J8" s="556"/>
      <c r="K8" s="556"/>
      <c r="L8" s="556"/>
      <c r="M8" s="556"/>
      <c r="N8" s="556"/>
      <c r="O8" s="556"/>
      <c r="P8" s="556"/>
      <c r="Q8" s="556"/>
      <c r="R8" s="556"/>
      <c r="S8" s="556"/>
      <c r="T8" s="556"/>
      <c r="U8" s="556"/>
      <c r="V8" s="556"/>
      <c r="W8" s="556"/>
      <c r="X8" s="556"/>
      <c r="Y8" s="556"/>
      <c r="Z8" s="556"/>
      <c r="AA8" s="485"/>
      <c r="AB8" s="485"/>
      <c r="AC8" s="485"/>
      <c r="AD8" s="485"/>
      <c r="AE8" s="485"/>
      <c r="AF8" s="485"/>
    </row>
    <row r="9" spans="1:32" x14ac:dyDescent="0.45">
      <c r="A9" s="485"/>
      <c r="B9" s="485"/>
      <c r="C9" s="485"/>
      <c r="D9" s="485"/>
      <c r="E9" s="485"/>
      <c r="F9" s="485"/>
      <c r="G9" s="485"/>
      <c r="H9" s="485"/>
      <c r="I9" s="485"/>
      <c r="J9" s="485"/>
      <c r="K9" s="485"/>
      <c r="L9" s="485"/>
      <c r="M9" s="485"/>
      <c r="N9" s="485"/>
      <c r="O9" s="485"/>
      <c r="P9" s="485"/>
      <c r="Q9" s="485"/>
      <c r="R9" s="485"/>
      <c r="S9" s="485"/>
      <c r="T9" s="485"/>
      <c r="U9" s="485"/>
      <c r="V9" s="485"/>
      <c r="W9" s="485"/>
      <c r="X9" s="485"/>
      <c r="Y9" s="485"/>
      <c r="Z9" s="485"/>
      <c r="AA9" s="485"/>
      <c r="AB9" s="485"/>
      <c r="AC9" s="485"/>
      <c r="AD9" s="485"/>
      <c r="AE9" s="485"/>
      <c r="AF9" s="485"/>
    </row>
    <row r="10" spans="1:32" ht="14.65" thickBot="1" x14ac:dyDescent="0.5">
      <c r="A10" s="485"/>
      <c r="B10" s="485"/>
      <c r="C10" s="485"/>
      <c r="D10" s="485"/>
      <c r="E10" s="485"/>
      <c r="F10" s="485"/>
      <c r="G10" s="485"/>
      <c r="H10" s="485"/>
      <c r="I10" s="485"/>
      <c r="J10" s="485"/>
      <c r="K10" s="485"/>
      <c r="L10" s="485"/>
      <c r="M10" s="485"/>
      <c r="N10" s="485"/>
      <c r="O10" s="485"/>
      <c r="P10" s="485"/>
      <c r="Q10" s="505"/>
      <c r="R10" s="485"/>
      <c r="S10" s="505"/>
      <c r="T10" s="485"/>
      <c r="U10" s="485"/>
      <c r="V10" s="485"/>
      <c r="W10" s="485"/>
      <c r="X10" s="485"/>
      <c r="Y10" s="485"/>
      <c r="Z10" s="485"/>
      <c r="AA10" s="485"/>
      <c r="AB10" s="485"/>
      <c r="AC10" s="485"/>
      <c r="AD10" s="485"/>
    </row>
    <row r="11" spans="1:32" ht="52.5" customHeight="1" x14ac:dyDescent="0.45">
      <c r="B11" s="122" t="s">
        <v>310</v>
      </c>
      <c r="C11" s="752" t="s">
        <v>311</v>
      </c>
      <c r="D11" s="752"/>
      <c r="E11" s="752"/>
      <c r="F11" s="752"/>
      <c r="G11" s="752"/>
      <c r="H11" s="753"/>
      <c r="K11" s="120"/>
      <c r="L11" s="228" t="s">
        <v>312</v>
      </c>
      <c r="M11" s="229" t="s">
        <v>313</v>
      </c>
      <c r="N11" s="229" t="s">
        <v>314</v>
      </c>
      <c r="O11" s="230" t="str">
        <f>B13</f>
        <v>Food and Groceries</v>
      </c>
      <c r="P11" s="230" t="str">
        <f>B14</f>
        <v>Rent</v>
      </c>
      <c r="Q11" s="230" t="str">
        <f>B15</f>
        <v>Mortgage</v>
      </c>
      <c r="R11" s="230" t="str">
        <f>B16</f>
        <v xml:space="preserve">Passenger Transport </v>
      </c>
      <c r="S11" s="230" t="str">
        <f>B17</f>
        <v xml:space="preserve">Gas/Electricity </v>
      </c>
      <c r="T11" s="230" t="str">
        <f>B18</f>
        <v xml:space="preserve">Telephone/mobile/internet services </v>
      </c>
      <c r="U11" s="230" t="str">
        <f>B19</f>
        <v>Clothing and footwear</v>
      </c>
      <c r="V11" s="230" t="str">
        <f>B20</f>
        <v>Rates</v>
      </c>
      <c r="W11" s="230" t="str">
        <f>B21</f>
        <v xml:space="preserve">House/content insurance </v>
      </c>
      <c r="X11" s="230" t="str">
        <f>B22</f>
        <v xml:space="preserve">Property maintenance </v>
      </c>
      <c r="Y11" s="230" t="str">
        <f>B23</f>
        <v xml:space="preserve">Private vehicle costs </v>
      </c>
      <c r="Z11" s="230" t="str">
        <f>B24</f>
        <v xml:space="preserve">Vehicle Insurance </v>
      </c>
      <c r="AA11" s="230" t="str">
        <f>B25</f>
        <v xml:space="preserve">Medical Insurance </v>
      </c>
      <c r="AB11" s="230" t="str">
        <f>B26</f>
        <v>Health/medical expenses</v>
      </c>
      <c r="AC11" s="230" t="str">
        <f>B27</f>
        <v xml:space="preserve">Life Insurance </v>
      </c>
      <c r="AD11" s="231" t="str">
        <f>B28</f>
        <v xml:space="preserve">Insurance other and combinations </v>
      </c>
    </row>
    <row r="12" spans="1:32" ht="43.15" thickBot="1" x14ac:dyDescent="0.5">
      <c r="B12" s="123"/>
      <c r="C12" s="124" t="s">
        <v>315</v>
      </c>
      <c r="D12" s="124" t="s">
        <v>316</v>
      </c>
      <c r="E12" s="124" t="s">
        <v>317</v>
      </c>
      <c r="F12" s="124" t="s">
        <v>67</v>
      </c>
      <c r="G12" s="124" t="s">
        <v>318</v>
      </c>
      <c r="H12" s="125" t="s">
        <v>319</v>
      </c>
      <c r="K12" s="126"/>
      <c r="L12" s="232" t="s">
        <v>310</v>
      </c>
      <c r="M12" s="127" t="s">
        <v>315</v>
      </c>
      <c r="N12" s="128" t="str">
        <f>L12&amp;""&amp;M12</f>
        <v>Urban Auckland Couple Only</v>
      </c>
      <c r="O12" s="129">
        <f>$C$13</f>
        <v>263.5</v>
      </c>
      <c r="P12" s="129">
        <f>$C$14</f>
        <v>414</v>
      </c>
      <c r="Q12" s="129">
        <f>$C$15</f>
        <v>608.4</v>
      </c>
      <c r="R12" s="129">
        <f>C$16</f>
        <v>36.700000000000003</v>
      </c>
      <c r="S12" s="129">
        <f>$C$17</f>
        <v>37.200000000000003</v>
      </c>
      <c r="T12" s="129">
        <f>$C$18</f>
        <v>36.1</v>
      </c>
      <c r="U12" s="129">
        <f>$C$19</f>
        <v>128.6</v>
      </c>
      <c r="V12" s="129">
        <f>$C$20</f>
        <v>58.1</v>
      </c>
      <c r="W12" s="129">
        <f>$C$21</f>
        <v>31.8</v>
      </c>
      <c r="X12" s="129">
        <f>$C$22</f>
        <v>153.5</v>
      </c>
      <c r="Y12" s="129">
        <f>$C$23</f>
        <v>72.8</v>
      </c>
      <c r="Z12" s="129">
        <f>$C$24</f>
        <v>21.5</v>
      </c>
      <c r="AA12" s="129">
        <f>$C$25</f>
        <v>52.4</v>
      </c>
      <c r="AB12" s="129">
        <f>$C$26</f>
        <v>90.7</v>
      </c>
      <c r="AC12" s="129">
        <f>$C$27</f>
        <v>46.6</v>
      </c>
      <c r="AD12" s="233">
        <f>$C$28</f>
        <v>45</v>
      </c>
    </row>
    <row r="13" spans="1:32" x14ac:dyDescent="0.45">
      <c r="B13" s="130" t="s">
        <v>94</v>
      </c>
      <c r="C13" s="131">
        <v>263.5</v>
      </c>
      <c r="D13" s="131">
        <v>278.5</v>
      </c>
      <c r="E13" s="131">
        <v>395.8</v>
      </c>
      <c r="F13" s="131">
        <v>407.1</v>
      </c>
      <c r="G13" s="131">
        <v>204.5</v>
      </c>
      <c r="H13" s="132">
        <v>135.1</v>
      </c>
      <c r="K13" s="133"/>
      <c r="L13" s="234" t="s">
        <v>310</v>
      </c>
      <c r="M13" s="127" t="s">
        <v>316</v>
      </c>
      <c r="N13" s="128" t="str">
        <f t="shared" ref="N13:N47" si="0">L13&amp;""&amp;M13</f>
        <v>Urban Auckland Couple with 1 dependent child</v>
      </c>
      <c r="O13" s="129">
        <f>$D$13</f>
        <v>278.5</v>
      </c>
      <c r="P13" s="129">
        <f>$D$14</f>
        <v>455.4</v>
      </c>
      <c r="Q13" s="129">
        <f>$D$15</f>
        <v>664.8</v>
      </c>
      <c r="R13" s="129">
        <f>$D$16</f>
        <v>45.8</v>
      </c>
      <c r="S13" s="129">
        <f>$D$17</f>
        <v>44.8</v>
      </c>
      <c r="T13" s="129">
        <f>$D$18</f>
        <v>35.200000000000003</v>
      </c>
      <c r="U13" s="129">
        <f>$D$19</f>
        <v>107.3</v>
      </c>
      <c r="V13" s="129">
        <f>$D$20</f>
        <v>55.2</v>
      </c>
      <c r="W13" s="129">
        <f>$D$21</f>
        <v>35.700000000000003</v>
      </c>
      <c r="X13" s="129">
        <f>$D$22</f>
        <v>65.7</v>
      </c>
      <c r="Y13" s="129">
        <f>$D$23</f>
        <v>63.1</v>
      </c>
      <c r="Z13" s="129">
        <f>$D$24</f>
        <v>19.600000000000001</v>
      </c>
      <c r="AA13" s="129">
        <f>$D$25</f>
        <v>42.4</v>
      </c>
      <c r="AB13" s="129">
        <f>$D$26</f>
        <v>66.8</v>
      </c>
      <c r="AC13" s="129">
        <f>$D$27</f>
        <v>41.4</v>
      </c>
      <c r="AD13" s="233">
        <f>$D$28</f>
        <v>42</v>
      </c>
    </row>
    <row r="14" spans="1:32" x14ac:dyDescent="0.45">
      <c r="B14" s="134" t="s">
        <v>95</v>
      </c>
      <c r="C14" s="121">
        <v>414</v>
      </c>
      <c r="D14" s="121">
        <v>455.4</v>
      </c>
      <c r="E14" s="121">
        <v>555.29999999999995</v>
      </c>
      <c r="F14" s="121">
        <v>454.5</v>
      </c>
      <c r="G14" s="121">
        <v>422.4</v>
      </c>
      <c r="H14" s="135">
        <v>333.2</v>
      </c>
      <c r="K14" s="133"/>
      <c r="L14" s="234" t="s">
        <v>310</v>
      </c>
      <c r="M14" s="127" t="s">
        <v>317</v>
      </c>
      <c r="N14" s="128" t="str">
        <f t="shared" si="0"/>
        <v>Urban Auckland Couple with 2 dependent children</v>
      </c>
      <c r="O14" s="129">
        <f>$E$13</f>
        <v>395.8</v>
      </c>
      <c r="P14" s="129">
        <f>$E$14</f>
        <v>555.29999999999995</v>
      </c>
      <c r="Q14" s="129">
        <f>$E$15</f>
        <v>640.70000000000005</v>
      </c>
      <c r="R14" s="129">
        <f>$E$16</f>
        <v>20.7</v>
      </c>
      <c r="S14" s="129">
        <f>$E$17</f>
        <v>45.9</v>
      </c>
      <c r="T14" s="129">
        <f>$E$18</f>
        <v>37.200000000000003</v>
      </c>
      <c r="U14" s="129">
        <f>$E$19</f>
        <v>112.9</v>
      </c>
      <c r="V14" s="129">
        <f>$E$20</f>
        <v>62.2</v>
      </c>
      <c r="W14" s="129">
        <f>$E$21</f>
        <v>33.4</v>
      </c>
      <c r="X14" s="129">
        <f>$E$22</f>
        <v>65.7</v>
      </c>
      <c r="Y14" s="129">
        <f>$E$23</f>
        <v>93.5</v>
      </c>
      <c r="Z14" s="129">
        <f>$E$24</f>
        <v>23.6</v>
      </c>
      <c r="AA14" s="129">
        <f>$E$25</f>
        <v>53.2</v>
      </c>
      <c r="AB14" s="129">
        <f>$E$26</f>
        <v>68.099999999999994</v>
      </c>
      <c r="AC14" s="129">
        <f>$E$27</f>
        <v>39</v>
      </c>
      <c r="AD14" s="233">
        <f>$E$28</f>
        <v>65.3</v>
      </c>
    </row>
    <row r="15" spans="1:32" x14ac:dyDescent="0.45">
      <c r="B15" s="134" t="s">
        <v>96</v>
      </c>
      <c r="C15" s="121">
        <v>608.4</v>
      </c>
      <c r="D15" s="121">
        <v>664.8</v>
      </c>
      <c r="E15" s="121">
        <v>640.70000000000005</v>
      </c>
      <c r="F15" s="121">
        <v>840.4</v>
      </c>
      <c r="G15" s="121">
        <v>363.5</v>
      </c>
      <c r="H15" s="135">
        <v>416.1</v>
      </c>
      <c r="K15" s="133"/>
      <c r="L15" s="234" t="s">
        <v>310</v>
      </c>
      <c r="M15" s="127" t="s">
        <v>67</v>
      </c>
      <c r="N15" s="128" t="str">
        <f t="shared" si="0"/>
        <v>Urban Auckland Couple with 3 dependent children</v>
      </c>
      <c r="O15" s="129">
        <f>$F$13</f>
        <v>407.1</v>
      </c>
      <c r="P15" s="129">
        <f>$F$14</f>
        <v>454.5</v>
      </c>
      <c r="Q15" s="129">
        <f>$F$15</f>
        <v>840.4</v>
      </c>
      <c r="R15" s="129">
        <f>$F$16</f>
        <v>58</v>
      </c>
      <c r="S15" s="129">
        <f>$F$17</f>
        <v>64.2</v>
      </c>
      <c r="T15" s="129">
        <f>$F$18</f>
        <v>37</v>
      </c>
      <c r="U15" s="129">
        <f>$F$19</f>
        <v>99</v>
      </c>
      <c r="V15" s="129">
        <f>$F$20</f>
        <v>78</v>
      </c>
      <c r="W15" s="129">
        <f>$F$21</f>
        <v>39.200000000000003</v>
      </c>
      <c r="X15" s="129">
        <f>$F$22</f>
        <v>50.1</v>
      </c>
      <c r="Y15" s="129">
        <f>$F$23</f>
        <v>80.3</v>
      </c>
      <c r="Z15" s="129">
        <f>$F$24</f>
        <v>26.2</v>
      </c>
      <c r="AA15" s="129">
        <f>$F$25</f>
        <v>71</v>
      </c>
      <c r="AB15" s="129">
        <f>$F$26</f>
        <v>60.7</v>
      </c>
      <c r="AC15" s="129">
        <f>$F$27</f>
        <v>30.8</v>
      </c>
      <c r="AD15" s="233">
        <f>$F$28</f>
        <v>44</v>
      </c>
    </row>
    <row r="16" spans="1:32" x14ac:dyDescent="0.45">
      <c r="B16" s="134" t="s">
        <v>97</v>
      </c>
      <c r="C16" s="121">
        <v>36.700000000000003</v>
      </c>
      <c r="D16" s="121">
        <v>45.8</v>
      </c>
      <c r="E16" s="121">
        <v>20.7</v>
      </c>
      <c r="F16" s="121">
        <v>58</v>
      </c>
      <c r="G16" s="121">
        <v>21.5</v>
      </c>
      <c r="H16" s="135">
        <v>51.4</v>
      </c>
      <c r="K16" s="133"/>
      <c r="L16" s="234" t="s">
        <v>310</v>
      </c>
      <c r="M16" s="127" t="s">
        <v>318</v>
      </c>
      <c r="N16" s="128" t="str">
        <f t="shared" si="0"/>
        <v>Urban Auckland 1 parent with dependent child(ren)</v>
      </c>
      <c r="O16" s="129">
        <f>$G$13</f>
        <v>204.5</v>
      </c>
      <c r="P16" s="129">
        <f>$G$14</f>
        <v>422.4</v>
      </c>
      <c r="Q16" s="129">
        <f>$G$15</f>
        <v>363.5</v>
      </c>
      <c r="R16" s="129">
        <f>$G$16</f>
        <v>21.5</v>
      </c>
      <c r="S16" s="129">
        <f>$G$17</f>
        <v>37.200000000000003</v>
      </c>
      <c r="T16" s="129">
        <f>$G$18</f>
        <v>30.9</v>
      </c>
      <c r="U16" s="129">
        <f>$G$19</f>
        <v>67</v>
      </c>
      <c r="V16" s="129">
        <f>$G$20</f>
        <v>34.299999999999997</v>
      </c>
      <c r="W16" s="129">
        <f>$G$21</f>
        <v>26.4</v>
      </c>
      <c r="X16" s="129">
        <f>$G$22</f>
        <v>54.6</v>
      </c>
      <c r="Y16" s="129">
        <f>$G$23</f>
        <v>58.2</v>
      </c>
      <c r="Z16" s="129">
        <f>$G$24</f>
        <v>12.9</v>
      </c>
      <c r="AA16" s="129">
        <f>$G$25</f>
        <v>17.399999999999999</v>
      </c>
      <c r="AB16" s="129">
        <f>$G$26</f>
        <v>17.899999999999999</v>
      </c>
      <c r="AC16" s="129">
        <f>$G$27</f>
        <v>13.9</v>
      </c>
      <c r="AD16" s="233">
        <f>$G$28</f>
        <v>30.1</v>
      </c>
    </row>
    <row r="17" spans="2:30" x14ac:dyDescent="0.45">
      <c r="B17" s="134" t="s">
        <v>98</v>
      </c>
      <c r="C17" s="121">
        <v>37.200000000000003</v>
      </c>
      <c r="D17" s="121">
        <v>44.8</v>
      </c>
      <c r="E17" s="121">
        <v>45.9</v>
      </c>
      <c r="F17" s="121">
        <v>64.2</v>
      </c>
      <c r="G17" s="121">
        <v>37.200000000000003</v>
      </c>
      <c r="H17" s="135">
        <v>28</v>
      </c>
      <c r="K17" s="133"/>
      <c r="L17" s="234" t="s">
        <v>310</v>
      </c>
      <c r="M17" s="127" t="s">
        <v>319</v>
      </c>
      <c r="N17" s="128" t="str">
        <f t="shared" si="0"/>
        <v>Urban Auckland 1 person</v>
      </c>
      <c r="O17" s="129">
        <f>$H$13</f>
        <v>135.1</v>
      </c>
      <c r="P17" s="129">
        <f>$H$14</f>
        <v>333.2</v>
      </c>
      <c r="Q17" s="129">
        <f>$H$15</f>
        <v>416.1</v>
      </c>
      <c r="R17" s="129">
        <f>$H$16</f>
        <v>51.4</v>
      </c>
      <c r="S17" s="129">
        <f>$H$17</f>
        <v>28</v>
      </c>
      <c r="T17" s="129">
        <f>$H$18</f>
        <v>26.6</v>
      </c>
      <c r="U17" s="129">
        <f>$H$19</f>
        <v>68.5</v>
      </c>
      <c r="V17" s="129">
        <f>$H$20</f>
        <v>52.4</v>
      </c>
      <c r="W17" s="129">
        <f>$H$21</f>
        <v>27.9</v>
      </c>
      <c r="X17" s="129">
        <f>$H$22</f>
        <v>36.200000000000003</v>
      </c>
      <c r="Y17" s="129">
        <f>$H$23</f>
        <v>38.4</v>
      </c>
      <c r="Z17" s="129">
        <f>$H$24</f>
        <v>11.4</v>
      </c>
      <c r="AA17" s="129">
        <f>$H$25</f>
        <v>52.6</v>
      </c>
      <c r="AB17" s="129">
        <f>$H$26</f>
        <v>49.1</v>
      </c>
      <c r="AC17" s="129">
        <f>$H$27</f>
        <v>12.4</v>
      </c>
      <c r="AD17" s="233">
        <f>$H$28</f>
        <v>39.6</v>
      </c>
    </row>
    <row r="18" spans="2:30" x14ac:dyDescent="0.45">
      <c r="B18" s="134" t="s">
        <v>99</v>
      </c>
      <c r="C18" s="121">
        <v>36.1</v>
      </c>
      <c r="D18" s="121">
        <v>35.200000000000003</v>
      </c>
      <c r="E18" s="121">
        <v>37.200000000000003</v>
      </c>
      <c r="F18" s="121">
        <v>37</v>
      </c>
      <c r="G18" s="121">
        <v>30.9</v>
      </c>
      <c r="H18" s="135">
        <v>26.6</v>
      </c>
      <c r="K18" s="126"/>
      <c r="L18" s="235" t="s">
        <v>65</v>
      </c>
      <c r="M18" s="136" t="s">
        <v>315</v>
      </c>
      <c r="N18" s="111" t="str">
        <f t="shared" si="0"/>
        <v>Urban Waikato/Bay of Plenty Couple Only</v>
      </c>
      <c r="O18" s="112">
        <f>$C$32</f>
        <v>237.7</v>
      </c>
      <c r="P18" s="112">
        <f>$C$33</f>
        <v>304.89999999999998</v>
      </c>
      <c r="Q18" s="112">
        <f>$C$34</f>
        <v>432.6</v>
      </c>
      <c r="R18" s="112">
        <f>$C$35</f>
        <v>15.7</v>
      </c>
      <c r="S18" s="112">
        <f>$C$36</f>
        <v>44</v>
      </c>
      <c r="T18" s="112">
        <f>$C$37</f>
        <v>33.4</v>
      </c>
      <c r="U18" s="112">
        <f>$C$38</f>
        <v>86.4</v>
      </c>
      <c r="V18" s="112">
        <f>$C$39</f>
        <v>62.2</v>
      </c>
      <c r="W18" s="112">
        <f>$C$40</f>
        <v>30.3</v>
      </c>
      <c r="X18" s="112">
        <f>$C$41</f>
        <v>76.2</v>
      </c>
      <c r="Y18" s="112">
        <f>$C$42</f>
        <v>68.8</v>
      </c>
      <c r="Z18" s="112">
        <f>$C$43</f>
        <v>23.5</v>
      </c>
      <c r="AA18" s="112">
        <f>$C$44</f>
        <v>44</v>
      </c>
      <c r="AB18" s="112">
        <f>$C$45</f>
        <v>73.3</v>
      </c>
      <c r="AC18" s="112">
        <f>$C$46</f>
        <v>34.9</v>
      </c>
      <c r="AD18" s="236">
        <f>$C$47</f>
        <v>38</v>
      </c>
    </row>
    <row r="19" spans="2:30" x14ac:dyDescent="0.45">
      <c r="B19" s="134" t="s">
        <v>100</v>
      </c>
      <c r="C19" s="121">
        <v>128.6</v>
      </c>
      <c r="D19" s="121">
        <v>107.3</v>
      </c>
      <c r="E19" s="121">
        <v>112.9</v>
      </c>
      <c r="F19" s="121">
        <v>99</v>
      </c>
      <c r="G19" s="121">
        <v>67</v>
      </c>
      <c r="H19" s="135">
        <v>68.5</v>
      </c>
      <c r="K19" s="126"/>
      <c r="L19" s="235" t="s">
        <v>65</v>
      </c>
      <c r="M19" s="136" t="s">
        <v>316</v>
      </c>
      <c r="N19" s="111" t="str">
        <f t="shared" si="0"/>
        <v>Urban Waikato/Bay of Plenty Couple with 1 dependent child</v>
      </c>
      <c r="O19" s="112">
        <f>$D$32</f>
        <v>357.2</v>
      </c>
      <c r="P19" s="112">
        <f>$D$33</f>
        <v>430.1</v>
      </c>
      <c r="Q19" s="112">
        <f>$D$34</f>
        <v>551.1</v>
      </c>
      <c r="R19" s="112">
        <f>$D$35</f>
        <v>40.299999999999997</v>
      </c>
      <c r="S19" s="112">
        <f>$D$36</f>
        <v>50.4</v>
      </c>
      <c r="T19" s="112">
        <f>$D$37</f>
        <v>33.200000000000003</v>
      </c>
      <c r="U19" s="112">
        <f>$D$38</f>
        <v>167.3</v>
      </c>
      <c r="V19" s="112">
        <f>$D$39</f>
        <v>57.2</v>
      </c>
      <c r="W19" s="112">
        <f>$D$40</f>
        <v>28.5</v>
      </c>
      <c r="X19" s="112">
        <f>$D$41</f>
        <v>48.6</v>
      </c>
      <c r="Y19" s="112">
        <f>$D$42</f>
        <v>44.6</v>
      </c>
      <c r="Z19" s="112">
        <f>$D$43</f>
        <v>16.600000000000001</v>
      </c>
      <c r="AA19" s="112">
        <f>$D$44</f>
        <v>41.3</v>
      </c>
      <c r="AB19" s="112">
        <f>$D$45</f>
        <v>65</v>
      </c>
      <c r="AC19" s="112">
        <f>$D$46</f>
        <v>16.600000000000001</v>
      </c>
      <c r="AD19" s="236">
        <f>$D$47</f>
        <v>38.4</v>
      </c>
    </row>
    <row r="20" spans="2:30" x14ac:dyDescent="0.45">
      <c r="B20" s="134" t="s">
        <v>101</v>
      </c>
      <c r="C20" s="121">
        <v>58.1</v>
      </c>
      <c r="D20" s="121">
        <v>55.2</v>
      </c>
      <c r="E20" s="121">
        <v>62.2</v>
      </c>
      <c r="F20" s="121">
        <v>78</v>
      </c>
      <c r="G20" s="121">
        <v>34.299999999999997</v>
      </c>
      <c r="H20" s="135">
        <v>52.4</v>
      </c>
      <c r="K20" s="126"/>
      <c r="L20" s="235" t="s">
        <v>65</v>
      </c>
      <c r="M20" s="136" t="s">
        <v>317</v>
      </c>
      <c r="N20" s="111" t="str">
        <f t="shared" si="0"/>
        <v>Urban Waikato/Bay of Plenty Couple with 2 dependent children</v>
      </c>
      <c r="O20" s="112">
        <f>$E$32</f>
        <v>349</v>
      </c>
      <c r="P20" s="112">
        <f>$E$33</f>
        <v>364.3</v>
      </c>
      <c r="Q20" s="112">
        <f>$E$34</f>
        <v>455.4</v>
      </c>
      <c r="R20" s="112">
        <f>$E$35</f>
        <v>27.3</v>
      </c>
      <c r="S20" s="112">
        <f>$E$36</f>
        <v>50.1</v>
      </c>
      <c r="T20" s="112">
        <f>$E$37</f>
        <v>34.799999999999997</v>
      </c>
      <c r="U20" s="112">
        <f>$E$38</f>
        <v>103.5</v>
      </c>
      <c r="V20" s="112">
        <f>$E$39</f>
        <v>61.8</v>
      </c>
      <c r="W20" s="112">
        <f>$E$40</f>
        <v>28.6</v>
      </c>
      <c r="X20" s="112">
        <f>$E$41</f>
        <v>47.9</v>
      </c>
      <c r="Y20" s="112">
        <f>$E$42</f>
        <v>87.5</v>
      </c>
      <c r="Z20" s="112">
        <f>$E$43</f>
        <v>14.8</v>
      </c>
      <c r="AA20" s="112">
        <f>$E$44</f>
        <v>39.5</v>
      </c>
      <c r="AB20" s="112">
        <f>$E$45</f>
        <v>47.2</v>
      </c>
      <c r="AC20" s="112">
        <f>$E$46</f>
        <v>27.7</v>
      </c>
      <c r="AD20" s="236">
        <f>$E$47</f>
        <v>40.9</v>
      </c>
    </row>
    <row r="21" spans="2:30" x14ac:dyDescent="0.45">
      <c r="B21" s="134" t="s">
        <v>102</v>
      </c>
      <c r="C21" s="121">
        <v>31.8</v>
      </c>
      <c r="D21" s="121">
        <v>35.700000000000003</v>
      </c>
      <c r="E21" s="121">
        <v>33.4</v>
      </c>
      <c r="F21" s="121">
        <v>39.200000000000003</v>
      </c>
      <c r="G21" s="121">
        <v>26.4</v>
      </c>
      <c r="H21" s="135">
        <v>27.9</v>
      </c>
      <c r="K21" s="126"/>
      <c r="L21" s="235" t="s">
        <v>65</v>
      </c>
      <c r="M21" s="136" t="s">
        <v>67</v>
      </c>
      <c r="N21" s="111" t="str">
        <f t="shared" si="0"/>
        <v>Urban Waikato/Bay of Plenty Couple with 3 dependent children</v>
      </c>
      <c r="O21" s="112">
        <f>$F$32</f>
        <v>294.10000000000002</v>
      </c>
      <c r="P21" s="112">
        <f>$F$33</f>
        <v>420.6</v>
      </c>
      <c r="Q21" s="112">
        <f>$F$34</f>
        <v>524.4</v>
      </c>
      <c r="R21" s="112">
        <f>$F$35</f>
        <v>47.1</v>
      </c>
      <c r="S21" s="112">
        <f>$F$36</f>
        <v>59.5</v>
      </c>
      <c r="T21" s="112">
        <f>$F$37</f>
        <v>45</v>
      </c>
      <c r="U21" s="112">
        <f>$F$38</f>
        <v>57.4</v>
      </c>
      <c r="V21" s="112">
        <f>$F$39</f>
        <v>38.200000000000003</v>
      </c>
      <c r="W21" s="112">
        <f>$F$40</f>
        <v>39.799999999999997</v>
      </c>
      <c r="X21" s="112">
        <f>$F$41</f>
        <v>29</v>
      </c>
      <c r="Y21" s="112">
        <f>$F$42</f>
        <v>118.4</v>
      </c>
      <c r="Z21" s="112">
        <f>$F$43</f>
        <v>25.5</v>
      </c>
      <c r="AA21" s="112">
        <f>$F$44</f>
        <v>67.400000000000006</v>
      </c>
      <c r="AB21" s="112">
        <f>$F$45</f>
        <v>46.5</v>
      </c>
      <c r="AC21" s="112">
        <f>$F$46</f>
        <v>29.7</v>
      </c>
      <c r="AD21" s="236">
        <f>$F$47</f>
        <v>31.7</v>
      </c>
    </row>
    <row r="22" spans="2:30" x14ac:dyDescent="0.45">
      <c r="B22" s="134" t="s">
        <v>103</v>
      </c>
      <c r="C22" s="121">
        <v>153.5</v>
      </c>
      <c r="D22" s="121">
        <v>65.7</v>
      </c>
      <c r="E22" s="121">
        <v>65.7</v>
      </c>
      <c r="F22" s="121">
        <v>50.1</v>
      </c>
      <c r="G22" s="121">
        <v>54.6</v>
      </c>
      <c r="H22" s="135">
        <v>36.200000000000003</v>
      </c>
      <c r="K22" s="133"/>
      <c r="L22" s="237" t="s">
        <v>65</v>
      </c>
      <c r="M22" s="136" t="s">
        <v>318</v>
      </c>
      <c r="N22" s="111" t="str">
        <f t="shared" si="0"/>
        <v>Urban Waikato/Bay of Plenty 1 parent with dependent child(ren)</v>
      </c>
      <c r="O22" s="112">
        <f>$G$32</f>
        <v>131.80000000000001</v>
      </c>
      <c r="P22" s="112">
        <f>$G$33</f>
        <v>340.6</v>
      </c>
      <c r="Q22" s="112">
        <f>$G$34</f>
        <v>471.6</v>
      </c>
      <c r="R22" s="112">
        <f>$G$35</f>
        <v>27.1</v>
      </c>
      <c r="S22" s="112">
        <f>$G$36</f>
        <v>40.1</v>
      </c>
      <c r="T22" s="112">
        <f>$G$37</f>
        <v>28.3</v>
      </c>
      <c r="U22" s="112">
        <f>$G$38</f>
        <v>36.6</v>
      </c>
      <c r="V22" s="112">
        <f>$G$39</f>
        <v>36.9</v>
      </c>
      <c r="W22" s="112">
        <f>$G$40</f>
        <v>21.9</v>
      </c>
      <c r="X22" s="112">
        <f>$G$41</f>
        <v>44.1</v>
      </c>
      <c r="Y22" s="112">
        <f>$G$42</f>
        <v>42.9</v>
      </c>
      <c r="Z22" s="112">
        <f>$G$43</f>
        <v>11</v>
      </c>
      <c r="AA22" s="112">
        <f>$G$44</f>
        <v>17.399999999999999</v>
      </c>
      <c r="AB22" s="112">
        <f>$G$45</f>
        <v>41.9</v>
      </c>
      <c r="AC22" s="112">
        <f>$G$46</f>
        <v>7.1</v>
      </c>
      <c r="AD22" s="236">
        <f>$G$47</f>
        <v>14.6</v>
      </c>
    </row>
    <row r="23" spans="2:30" x14ac:dyDescent="0.45">
      <c r="B23" s="134" t="s">
        <v>104</v>
      </c>
      <c r="C23" s="121">
        <v>72.8</v>
      </c>
      <c r="D23" s="121">
        <v>63.1</v>
      </c>
      <c r="E23" s="121">
        <v>93.5</v>
      </c>
      <c r="F23" s="121">
        <v>80.3</v>
      </c>
      <c r="G23" s="121">
        <v>58.2</v>
      </c>
      <c r="H23" s="135">
        <v>38.4</v>
      </c>
      <c r="K23" s="133"/>
      <c r="L23" s="237" t="s">
        <v>65</v>
      </c>
      <c r="M23" s="136" t="s">
        <v>319</v>
      </c>
      <c r="N23" s="111" t="str">
        <f t="shared" si="0"/>
        <v>Urban Waikato/Bay of Plenty 1 person</v>
      </c>
      <c r="O23" s="112">
        <f>$H$32</f>
        <v>112.3</v>
      </c>
      <c r="P23" s="112">
        <f>$H$33</f>
        <v>228.4</v>
      </c>
      <c r="Q23" s="112">
        <f>$H$34</f>
        <v>308.39999999999998</v>
      </c>
      <c r="R23" s="112">
        <f>$H$35</f>
        <v>10.4</v>
      </c>
      <c r="S23" s="112">
        <f>$H$36</f>
        <v>34.700000000000003</v>
      </c>
      <c r="T23" s="112">
        <f>$H$37</f>
        <v>27.1</v>
      </c>
      <c r="U23" s="112">
        <f>$H$38</f>
        <v>52.7</v>
      </c>
      <c r="V23" s="112">
        <f>$H$39</f>
        <v>48.4</v>
      </c>
      <c r="W23" s="112">
        <f>$H$40</f>
        <v>21.3</v>
      </c>
      <c r="X23" s="112">
        <f>$H$41</f>
        <v>51.2</v>
      </c>
      <c r="Y23" s="112">
        <f>$H$42</f>
        <v>46.4</v>
      </c>
      <c r="Z23" s="112">
        <f>$H$43</f>
        <v>10.6</v>
      </c>
      <c r="AA23" s="112">
        <f>$H$44</f>
        <v>45.2</v>
      </c>
      <c r="AB23" s="112">
        <f>$H$45</f>
        <v>37.799999999999997</v>
      </c>
      <c r="AC23" s="112">
        <f>$H$46</f>
        <v>16.8</v>
      </c>
      <c r="AD23" s="236">
        <f>$H$47</f>
        <v>25</v>
      </c>
    </row>
    <row r="24" spans="2:30" x14ac:dyDescent="0.45">
      <c r="B24" s="134" t="s">
        <v>105</v>
      </c>
      <c r="C24" s="121">
        <v>21.5</v>
      </c>
      <c r="D24" s="121">
        <v>19.600000000000001</v>
      </c>
      <c r="E24" s="121">
        <v>23.6</v>
      </c>
      <c r="F24" s="121">
        <v>26.2</v>
      </c>
      <c r="G24" s="121">
        <v>12.9</v>
      </c>
      <c r="H24" s="135">
        <v>11.4</v>
      </c>
      <c r="K24" s="133"/>
      <c r="L24" s="238" t="s">
        <v>321</v>
      </c>
      <c r="M24" s="137" t="s">
        <v>315</v>
      </c>
      <c r="N24" s="138" t="str">
        <f t="shared" si="0"/>
        <v>Urban Wellington Couple Only</v>
      </c>
      <c r="O24" s="139">
        <f>$C$51</f>
        <v>282.7</v>
      </c>
      <c r="P24" s="139">
        <f>$C$52</f>
        <v>297.3</v>
      </c>
      <c r="Q24" s="139">
        <f>$C$53</f>
        <v>489</v>
      </c>
      <c r="R24" s="139">
        <f>$C$54</f>
        <v>32.299999999999997</v>
      </c>
      <c r="S24" s="139">
        <f>$C$55</f>
        <v>46.1</v>
      </c>
      <c r="T24" s="139">
        <f>$C$56</f>
        <v>40.200000000000003</v>
      </c>
      <c r="U24" s="139">
        <f>$C$57</f>
        <v>123.9</v>
      </c>
      <c r="V24" s="139">
        <f>$C$58</f>
        <v>70.400000000000006</v>
      </c>
      <c r="W24" s="139">
        <f>$C$59</f>
        <v>37.5</v>
      </c>
      <c r="X24" s="139">
        <f>$C$60</f>
        <v>142.1</v>
      </c>
      <c r="Y24" s="139">
        <f>$C$61</f>
        <v>77.8</v>
      </c>
      <c r="Z24" s="139">
        <f>$C$62</f>
        <v>18.899999999999999</v>
      </c>
      <c r="AA24" s="139">
        <f>$C$63</f>
        <v>67.400000000000006</v>
      </c>
      <c r="AB24" s="139">
        <f>$C$64</f>
        <v>66.7</v>
      </c>
      <c r="AC24" s="139">
        <f>$C$65</f>
        <v>32.799999999999997</v>
      </c>
      <c r="AD24" s="239">
        <f>$C$66</f>
        <v>36.700000000000003</v>
      </c>
    </row>
    <row r="25" spans="2:30" x14ac:dyDescent="0.45">
      <c r="B25" s="134" t="s">
        <v>106</v>
      </c>
      <c r="C25" s="121">
        <v>52.4</v>
      </c>
      <c r="D25" s="121">
        <v>42.4</v>
      </c>
      <c r="E25" s="121">
        <v>53.2</v>
      </c>
      <c r="F25" s="121">
        <v>71</v>
      </c>
      <c r="G25" s="121">
        <v>17.399999999999999</v>
      </c>
      <c r="H25" s="135">
        <v>52.6</v>
      </c>
      <c r="K25" s="133"/>
      <c r="L25" s="238" t="s">
        <v>321</v>
      </c>
      <c r="M25" s="137" t="s">
        <v>316</v>
      </c>
      <c r="N25" s="138" t="str">
        <f t="shared" si="0"/>
        <v>Urban Wellington Couple with 1 dependent child</v>
      </c>
      <c r="O25" s="139">
        <f>$D$51</f>
        <v>317.7</v>
      </c>
      <c r="P25" s="139">
        <f>$D$52</f>
        <v>303.5</v>
      </c>
      <c r="Q25" s="139">
        <f>$D$53</f>
        <v>591</v>
      </c>
      <c r="R25" s="139">
        <f>$D$54</f>
        <v>21.3</v>
      </c>
      <c r="S25" s="139">
        <f>$D$55</f>
        <v>56</v>
      </c>
      <c r="T25" s="139">
        <f>$D$56</f>
        <v>36.299999999999997</v>
      </c>
      <c r="U25" s="139">
        <f>$D$57</f>
        <v>106.5</v>
      </c>
      <c r="V25" s="139">
        <f>$D$58</f>
        <v>53.4</v>
      </c>
      <c r="W25" s="139">
        <f>$D$59</f>
        <v>45.9</v>
      </c>
      <c r="X25" s="139">
        <f>$D$60</f>
        <v>167.3</v>
      </c>
      <c r="Y25" s="139">
        <f>$D$61</f>
        <v>59.9</v>
      </c>
      <c r="Z25" s="139">
        <f>$D$62</f>
        <v>18.8</v>
      </c>
      <c r="AA25" s="139">
        <f>$D$63</f>
        <v>38</v>
      </c>
      <c r="AB25" s="139">
        <f>$D$64</f>
        <v>90.9</v>
      </c>
      <c r="AC25" s="139">
        <f>$D$65</f>
        <v>30.2</v>
      </c>
      <c r="AD25" s="239">
        <f>$D$66</f>
        <v>35.200000000000003</v>
      </c>
    </row>
    <row r="26" spans="2:30" x14ac:dyDescent="0.45">
      <c r="B26" s="134" t="s">
        <v>107</v>
      </c>
      <c r="C26" s="121">
        <v>90.7</v>
      </c>
      <c r="D26" s="121">
        <v>66.8</v>
      </c>
      <c r="E26" s="121">
        <v>68.099999999999994</v>
      </c>
      <c r="F26" s="121">
        <v>60.7</v>
      </c>
      <c r="G26" s="121">
        <v>17.899999999999999</v>
      </c>
      <c r="H26" s="135">
        <v>49.1</v>
      </c>
      <c r="K26" s="133"/>
      <c r="L26" s="238" t="s">
        <v>321</v>
      </c>
      <c r="M26" s="137" t="s">
        <v>317</v>
      </c>
      <c r="N26" s="138" t="str">
        <f t="shared" si="0"/>
        <v>Urban Wellington Couple with 2 dependent children</v>
      </c>
      <c r="O26" s="139">
        <f>$E$51</f>
        <v>373.9</v>
      </c>
      <c r="P26" s="139">
        <f>$E$52</f>
        <v>465.1</v>
      </c>
      <c r="Q26" s="139">
        <f>$E$53</f>
        <v>498.1</v>
      </c>
      <c r="R26" s="139">
        <f>$E$54</f>
        <v>41.1</v>
      </c>
      <c r="S26" s="139">
        <f>$E$55</f>
        <v>57.7</v>
      </c>
      <c r="T26" s="139">
        <f>$E$56</f>
        <v>43.8</v>
      </c>
      <c r="U26" s="139">
        <f>$E$57</f>
        <v>147.30000000000001</v>
      </c>
      <c r="V26" s="139">
        <f>$E$58</f>
        <v>73.900000000000006</v>
      </c>
      <c r="W26" s="139">
        <f>$E$59</f>
        <v>38.1</v>
      </c>
      <c r="X26" s="139">
        <f>$E$60</f>
        <v>49.9</v>
      </c>
      <c r="Y26" s="139">
        <f>$E$61</f>
        <v>85.2</v>
      </c>
      <c r="Z26" s="139">
        <f>$E$62</f>
        <v>17</v>
      </c>
      <c r="AA26" s="139">
        <f>$E$63</f>
        <v>46</v>
      </c>
      <c r="AB26" s="139">
        <f>$E$64</f>
        <v>70.599999999999994</v>
      </c>
      <c r="AC26" s="139">
        <f>$E$65</f>
        <v>38.299999999999997</v>
      </c>
      <c r="AD26" s="239">
        <f>$E$66</f>
        <v>51.1</v>
      </c>
    </row>
    <row r="27" spans="2:30" x14ac:dyDescent="0.45">
      <c r="B27" s="134" t="s">
        <v>108</v>
      </c>
      <c r="C27" s="121">
        <v>46.6</v>
      </c>
      <c r="D27" s="121">
        <v>41.4</v>
      </c>
      <c r="E27" s="121">
        <v>39</v>
      </c>
      <c r="F27" s="121">
        <v>30.8</v>
      </c>
      <c r="G27" s="121">
        <v>13.9</v>
      </c>
      <c r="H27" s="135">
        <v>12.4</v>
      </c>
      <c r="K27" s="133"/>
      <c r="L27" s="238" t="s">
        <v>321</v>
      </c>
      <c r="M27" s="137" t="s">
        <v>67</v>
      </c>
      <c r="N27" s="138" t="str">
        <f t="shared" si="0"/>
        <v>Urban Wellington Couple with 3 dependent children</v>
      </c>
      <c r="O27" s="139">
        <f>$F$51</f>
        <v>435.2</v>
      </c>
      <c r="P27" s="139">
        <f>$F$52</f>
        <v>267.5</v>
      </c>
      <c r="Q27" s="139">
        <f>$F$53</f>
        <v>542.70000000000005</v>
      </c>
      <c r="R27" s="139">
        <f>$F$54</f>
        <v>42.8</v>
      </c>
      <c r="S27" s="139">
        <f>$F$55</f>
        <v>62.8</v>
      </c>
      <c r="T27" s="139">
        <f>$F$56</f>
        <v>44.2</v>
      </c>
      <c r="U27" s="139">
        <f>$F$57</f>
        <v>170.2</v>
      </c>
      <c r="V27" s="139">
        <f>$F$58</f>
        <v>78.7</v>
      </c>
      <c r="W27" s="139">
        <f>$F$59</f>
        <v>43.8</v>
      </c>
      <c r="X27" s="139">
        <f>$F$60</f>
        <v>50.4</v>
      </c>
      <c r="Y27" s="139">
        <f>$F$61</f>
        <v>106.8</v>
      </c>
      <c r="Z27" s="139">
        <f>$F$62</f>
        <v>20.7</v>
      </c>
      <c r="AA27" s="139">
        <f>$F$63</f>
        <v>67.400000000000006</v>
      </c>
      <c r="AB27" s="139">
        <f>$F$64</f>
        <v>109.9</v>
      </c>
      <c r="AC27" s="139">
        <f>$F$65</f>
        <v>36.1</v>
      </c>
      <c r="AD27" s="239">
        <f>$F$66</f>
        <v>48.3</v>
      </c>
    </row>
    <row r="28" spans="2:30" ht="14.65" thickBot="1" x14ac:dyDescent="0.5">
      <c r="B28" s="140" t="s">
        <v>109</v>
      </c>
      <c r="C28" s="141">
        <v>45</v>
      </c>
      <c r="D28" s="141">
        <v>42</v>
      </c>
      <c r="E28" s="141">
        <v>65.3</v>
      </c>
      <c r="F28" s="141">
        <v>44</v>
      </c>
      <c r="G28" s="141">
        <v>30.1</v>
      </c>
      <c r="H28" s="142">
        <v>39.6</v>
      </c>
      <c r="K28" s="133"/>
      <c r="L28" s="238" t="s">
        <v>321</v>
      </c>
      <c r="M28" s="137" t="s">
        <v>318</v>
      </c>
      <c r="N28" s="138" t="str">
        <f t="shared" si="0"/>
        <v>Urban Wellington 1 parent with dependent child(ren)</v>
      </c>
      <c r="O28" s="139">
        <f>$G$51</f>
        <v>222.7</v>
      </c>
      <c r="P28" s="139">
        <f>$G$52</f>
        <v>258.89999999999998</v>
      </c>
      <c r="Q28" s="139">
        <f>$G$53</f>
        <v>349.1</v>
      </c>
      <c r="R28" s="139">
        <f>$G$54</f>
        <v>27.1</v>
      </c>
      <c r="S28" s="139">
        <f>$G$55</f>
        <v>37.5</v>
      </c>
      <c r="T28" s="139">
        <f>$G$56</f>
        <v>27.4</v>
      </c>
      <c r="U28" s="139">
        <f>$G$57</f>
        <v>29</v>
      </c>
      <c r="V28" s="139">
        <f>$G$58</f>
        <v>51.1</v>
      </c>
      <c r="W28" s="139">
        <f>$G$59</f>
        <v>24.4</v>
      </c>
      <c r="X28" s="139">
        <f>$G$60</f>
        <v>44.1</v>
      </c>
      <c r="Y28" s="139">
        <f>$G$61</f>
        <v>69.3</v>
      </c>
      <c r="Z28" s="139">
        <f>$G$62</f>
        <v>8.9</v>
      </c>
      <c r="AA28" s="139">
        <f>$G$63</f>
        <v>17.399999999999999</v>
      </c>
      <c r="AB28" s="139">
        <f>$G$64</f>
        <v>32.5</v>
      </c>
      <c r="AC28" s="139">
        <f>$G$65</f>
        <v>10.1</v>
      </c>
      <c r="AD28" s="239">
        <f>$G$66</f>
        <v>20.6</v>
      </c>
    </row>
    <row r="29" spans="2:30" ht="14.65" thickBot="1" x14ac:dyDescent="0.5">
      <c r="K29" s="133"/>
      <c r="L29" s="238" t="s">
        <v>321</v>
      </c>
      <c r="M29" s="137" t="s">
        <v>319</v>
      </c>
      <c r="N29" s="138" t="str">
        <f t="shared" si="0"/>
        <v>Urban Wellington 1 person</v>
      </c>
      <c r="O29" s="139">
        <f>$H$51</f>
        <v>116.6</v>
      </c>
      <c r="P29" s="139">
        <f>$H$52</f>
        <v>221.3</v>
      </c>
      <c r="Q29" s="139">
        <f>$H$53</f>
        <v>368.2</v>
      </c>
      <c r="R29" s="139">
        <f>$H$54</f>
        <v>25</v>
      </c>
      <c r="S29" s="139">
        <f>$H$55</f>
        <v>29.9</v>
      </c>
      <c r="T29" s="139">
        <f>$H$56</f>
        <v>30.3</v>
      </c>
      <c r="U29" s="139">
        <f>$H$57</f>
        <v>130.9</v>
      </c>
      <c r="V29" s="139">
        <f>$H$58</f>
        <v>52.6</v>
      </c>
      <c r="W29" s="139">
        <f>$H$59</f>
        <v>28.2</v>
      </c>
      <c r="X29" s="139">
        <f>$H$60</f>
        <v>63.1</v>
      </c>
      <c r="Y29" s="139">
        <f>$H$61</f>
        <v>31.7</v>
      </c>
      <c r="Z29" s="139">
        <f>$H$62</f>
        <v>12.9</v>
      </c>
      <c r="AA29" s="139">
        <f>$H$63</f>
        <v>29.3</v>
      </c>
      <c r="AB29" s="139">
        <f>$H$64</f>
        <v>34.6</v>
      </c>
      <c r="AC29" s="139">
        <f>$H$65</f>
        <v>14.2</v>
      </c>
      <c r="AD29" s="239">
        <f>$H$66</f>
        <v>31.8</v>
      </c>
    </row>
    <row r="30" spans="2:30" x14ac:dyDescent="0.45">
      <c r="B30" s="122" t="s">
        <v>65</v>
      </c>
      <c r="C30" s="752" t="s">
        <v>311</v>
      </c>
      <c r="D30" s="752"/>
      <c r="E30" s="752"/>
      <c r="F30" s="752"/>
      <c r="G30" s="752"/>
      <c r="H30" s="753"/>
      <c r="K30" s="133"/>
      <c r="L30" s="240" t="s">
        <v>322</v>
      </c>
      <c r="M30" s="143" t="s">
        <v>315</v>
      </c>
      <c r="N30" s="144" t="str">
        <f t="shared" si="0"/>
        <v>Rest of Urban North Island Couple Only</v>
      </c>
      <c r="O30" s="145">
        <f>$C$70</f>
        <v>206</v>
      </c>
      <c r="P30" s="145">
        <f>$C$71</f>
        <v>240.9</v>
      </c>
      <c r="Q30" s="145">
        <f>$C$72</f>
        <v>343.9</v>
      </c>
      <c r="R30" s="145">
        <f>$C$73</f>
        <v>15.1</v>
      </c>
      <c r="S30" s="145">
        <f>$C$74</f>
        <v>46</v>
      </c>
      <c r="T30" s="145">
        <f>$C$75</f>
        <v>33.5</v>
      </c>
      <c r="U30" s="145">
        <f>$C$76</f>
        <v>76.900000000000006</v>
      </c>
      <c r="V30" s="145">
        <f>$C$77</f>
        <v>55.7</v>
      </c>
      <c r="W30" s="145">
        <f>$C$78</f>
        <v>30.8</v>
      </c>
      <c r="X30" s="145">
        <f>$C$79</f>
        <v>83.5</v>
      </c>
      <c r="Y30" s="145">
        <f>$C$80</f>
        <v>77.099999999999994</v>
      </c>
      <c r="Z30" s="145">
        <f>$C$81</f>
        <v>17.600000000000001</v>
      </c>
      <c r="AA30" s="145">
        <f>$C$82</f>
        <v>89.9</v>
      </c>
      <c r="AB30" s="145">
        <f>$C$83</f>
        <v>72.7</v>
      </c>
      <c r="AC30" s="145">
        <f>$C$84</f>
        <v>35.5</v>
      </c>
      <c r="AD30" s="241">
        <f>$C$85</f>
        <v>47.2</v>
      </c>
    </row>
    <row r="31" spans="2:30" ht="43.15" thickBot="1" x14ac:dyDescent="0.5">
      <c r="B31" s="123"/>
      <c r="C31" s="124" t="s">
        <v>315</v>
      </c>
      <c r="D31" s="124" t="s">
        <v>316</v>
      </c>
      <c r="E31" s="124" t="s">
        <v>323</v>
      </c>
      <c r="F31" s="124" t="s">
        <v>324</v>
      </c>
      <c r="G31" s="124" t="s">
        <v>320</v>
      </c>
      <c r="H31" s="125" t="s">
        <v>325</v>
      </c>
      <c r="K31" s="133"/>
      <c r="L31" s="240" t="s">
        <v>322</v>
      </c>
      <c r="M31" s="143" t="s">
        <v>316</v>
      </c>
      <c r="N31" s="144" t="str">
        <f t="shared" si="0"/>
        <v>Rest of Urban North Island Couple with 1 dependent child</v>
      </c>
      <c r="O31" s="145">
        <f>$D$70</f>
        <v>330.8</v>
      </c>
      <c r="P31" s="145">
        <f>$D$71</f>
        <v>285.2</v>
      </c>
      <c r="Q31" s="145">
        <f>$D$72</f>
        <v>439</v>
      </c>
      <c r="R31" s="145">
        <f>$D$73</f>
        <v>40.299999999999997</v>
      </c>
      <c r="S31" s="145">
        <f>$D$74</f>
        <v>65.3</v>
      </c>
      <c r="T31" s="145">
        <f>$D$75</f>
        <v>38.799999999999997</v>
      </c>
      <c r="U31" s="145">
        <f>$D$76</f>
        <v>108.6</v>
      </c>
      <c r="V31" s="145">
        <f>$D$77</f>
        <v>63.7</v>
      </c>
      <c r="W31" s="145">
        <f>$D$78</f>
        <v>36.299999999999997</v>
      </c>
      <c r="X31" s="145">
        <f>$D$79</f>
        <v>105.4</v>
      </c>
      <c r="Y31" s="145">
        <f>$D$80</f>
        <v>62.8</v>
      </c>
      <c r="Z31" s="145">
        <f>$D$81</f>
        <v>15.1</v>
      </c>
      <c r="AA31" s="145">
        <f>$D$82</f>
        <v>43.6</v>
      </c>
      <c r="AB31" s="145">
        <f>$D$83</f>
        <v>126.1</v>
      </c>
      <c r="AC31" s="145">
        <f>$D$84</f>
        <v>45.3</v>
      </c>
      <c r="AD31" s="241">
        <f>$D$85</f>
        <v>46.9</v>
      </c>
    </row>
    <row r="32" spans="2:30" x14ac:dyDescent="0.45">
      <c r="B32" s="130" t="s">
        <v>94</v>
      </c>
      <c r="C32" s="131">
        <v>237.7</v>
      </c>
      <c r="D32" s="131">
        <v>357.2</v>
      </c>
      <c r="E32" s="131">
        <v>349</v>
      </c>
      <c r="F32" s="131">
        <v>294.10000000000002</v>
      </c>
      <c r="G32" s="131">
        <v>131.80000000000001</v>
      </c>
      <c r="H32" s="132">
        <v>112.3</v>
      </c>
      <c r="K32" s="133"/>
      <c r="L32" s="240" t="s">
        <v>322</v>
      </c>
      <c r="M32" s="143" t="s">
        <v>317</v>
      </c>
      <c r="N32" s="144" t="str">
        <f t="shared" si="0"/>
        <v>Rest of Urban North Island Couple with 2 dependent children</v>
      </c>
      <c r="O32" s="145">
        <f>$E$70</f>
        <v>329.1</v>
      </c>
      <c r="P32" s="145">
        <f>$E$71</f>
        <v>243.6</v>
      </c>
      <c r="Q32" s="145">
        <f>$E$72</f>
        <v>311</v>
      </c>
      <c r="R32" s="145">
        <f>$E$73</f>
        <v>27.3</v>
      </c>
      <c r="S32" s="145">
        <f>$E$74</f>
        <v>48.9</v>
      </c>
      <c r="T32" s="145">
        <f>$E$75</f>
        <v>37.1</v>
      </c>
      <c r="U32" s="145">
        <f>$E$76</f>
        <v>131.5</v>
      </c>
      <c r="V32" s="145">
        <f>$E$77</f>
        <v>50</v>
      </c>
      <c r="W32" s="145">
        <f>$E$78</f>
        <v>32.799999999999997</v>
      </c>
      <c r="X32" s="145">
        <f>$E$79</f>
        <v>24.5</v>
      </c>
      <c r="Y32" s="145">
        <f>$E$80</f>
        <v>94.8</v>
      </c>
      <c r="Z32" s="145">
        <f>$E$81</f>
        <v>15.9</v>
      </c>
      <c r="AA32" s="145">
        <f>$E$82</f>
        <v>54.3</v>
      </c>
      <c r="AB32" s="145">
        <f>$E$83</f>
        <v>155.5</v>
      </c>
      <c r="AC32" s="145">
        <f>$E$84</f>
        <v>32.200000000000003</v>
      </c>
      <c r="AD32" s="241">
        <f>$E$85</f>
        <v>55.4</v>
      </c>
    </row>
    <row r="33" spans="2:30" x14ac:dyDescent="0.45">
      <c r="B33" s="134" t="s">
        <v>95</v>
      </c>
      <c r="C33" s="121">
        <v>304.89999999999998</v>
      </c>
      <c r="D33" s="121">
        <v>430.1</v>
      </c>
      <c r="E33" s="121">
        <v>364.3</v>
      </c>
      <c r="F33" s="121">
        <v>420.6</v>
      </c>
      <c r="G33" s="121">
        <v>340.6</v>
      </c>
      <c r="H33" s="135">
        <v>228.4</v>
      </c>
      <c r="K33" s="133"/>
      <c r="L33" s="240" t="s">
        <v>322</v>
      </c>
      <c r="M33" s="143" t="s">
        <v>67</v>
      </c>
      <c r="N33" s="144" t="str">
        <f t="shared" si="0"/>
        <v>Rest of Urban North Island Couple with 3 dependent children</v>
      </c>
      <c r="O33" s="145">
        <f>$F$70</f>
        <v>323.3</v>
      </c>
      <c r="P33" s="145">
        <f>$F$71</f>
        <v>275.10000000000002</v>
      </c>
      <c r="Q33" s="145">
        <f>$F$72</f>
        <v>439.8</v>
      </c>
      <c r="R33" s="145">
        <f>$F$73</f>
        <v>47.1</v>
      </c>
      <c r="S33" s="145">
        <f>$F$74</f>
        <v>56.5</v>
      </c>
      <c r="T33" s="145">
        <f>$F$75</f>
        <v>36.9</v>
      </c>
      <c r="U33" s="145">
        <f>$F$76</f>
        <v>22.7</v>
      </c>
      <c r="V33" s="145">
        <f>$F$77</f>
        <v>63.6</v>
      </c>
      <c r="W33" s="145">
        <f>$F$78</f>
        <v>39.200000000000003</v>
      </c>
      <c r="X33" s="145">
        <f>$F$79</f>
        <v>50.4</v>
      </c>
      <c r="Y33" s="145">
        <f>$F$80</f>
        <v>67.3</v>
      </c>
      <c r="Z33" s="145">
        <f>$F$81</f>
        <v>14.5</v>
      </c>
      <c r="AA33" s="145">
        <f>$F$82</f>
        <v>67.400000000000006</v>
      </c>
      <c r="AB33" s="145">
        <f>$F$83</f>
        <v>49.8</v>
      </c>
      <c r="AC33" s="145">
        <f>$F$84</f>
        <v>19.600000000000001</v>
      </c>
      <c r="AD33" s="241">
        <f>$F$85</f>
        <v>48.7</v>
      </c>
    </row>
    <row r="34" spans="2:30" x14ac:dyDescent="0.45">
      <c r="B34" s="134" t="s">
        <v>96</v>
      </c>
      <c r="C34" s="121">
        <v>432.6</v>
      </c>
      <c r="D34" s="121">
        <v>551.1</v>
      </c>
      <c r="E34" s="121">
        <v>455.4</v>
      </c>
      <c r="F34" s="121">
        <v>524.4</v>
      </c>
      <c r="G34" s="121">
        <v>471.6</v>
      </c>
      <c r="H34" s="135">
        <v>308.39999999999998</v>
      </c>
      <c r="K34" s="133"/>
      <c r="L34" s="240" t="s">
        <v>322</v>
      </c>
      <c r="M34" s="143" t="s">
        <v>318</v>
      </c>
      <c r="N34" s="144" t="str">
        <f t="shared" si="0"/>
        <v>Rest of Urban North Island 1 parent with dependent child(ren)</v>
      </c>
      <c r="O34" s="145">
        <f>$G$70</f>
        <v>146.19999999999999</v>
      </c>
      <c r="P34" s="145">
        <f>$G$71</f>
        <v>255.1</v>
      </c>
      <c r="Q34" s="145">
        <f>$G$72</f>
        <v>263.3</v>
      </c>
      <c r="R34" s="145">
        <f>$G$73</f>
        <v>27.1</v>
      </c>
      <c r="S34" s="145">
        <f>$G$74</f>
        <v>41.7</v>
      </c>
      <c r="T34" s="145">
        <f>$G$75</f>
        <v>31.8</v>
      </c>
      <c r="U34" s="145">
        <f>$G$76</f>
        <v>114.8</v>
      </c>
      <c r="V34" s="145">
        <f>$G$77</f>
        <v>42.8</v>
      </c>
      <c r="W34" s="145">
        <f>$G$78</f>
        <v>25.3</v>
      </c>
      <c r="X34" s="145">
        <f>$G$79</f>
        <v>44.1</v>
      </c>
      <c r="Y34" s="145">
        <f>$G$80</f>
        <v>42.2</v>
      </c>
      <c r="Z34" s="145">
        <f>$G$81</f>
        <v>10.9</v>
      </c>
      <c r="AA34" s="145">
        <f>$G$82</f>
        <v>17.399999999999999</v>
      </c>
      <c r="AB34" s="145">
        <f>$G$83</f>
        <v>37.799999999999997</v>
      </c>
      <c r="AC34" s="145">
        <f>$G$84</f>
        <v>13.9</v>
      </c>
      <c r="AD34" s="241">
        <f>$G$85</f>
        <v>29.6</v>
      </c>
    </row>
    <row r="35" spans="2:30" x14ac:dyDescent="0.45">
      <c r="B35" s="134" t="s">
        <v>97</v>
      </c>
      <c r="C35" s="121">
        <v>15.7</v>
      </c>
      <c r="D35" s="121">
        <v>40.299999999999997</v>
      </c>
      <c r="E35" s="121">
        <v>27.3</v>
      </c>
      <c r="F35" s="121">
        <v>47.1</v>
      </c>
      <c r="G35" s="121">
        <v>27.1</v>
      </c>
      <c r="H35" s="135">
        <v>10.4</v>
      </c>
      <c r="K35" s="133"/>
      <c r="L35" s="240" t="s">
        <v>322</v>
      </c>
      <c r="M35" s="143" t="s">
        <v>319</v>
      </c>
      <c r="N35" s="144" t="str">
        <f t="shared" si="0"/>
        <v>Rest of Urban North Island 1 person</v>
      </c>
      <c r="O35" s="145">
        <f>$H$70</f>
        <v>92.1</v>
      </c>
      <c r="P35" s="145">
        <f>$H$71</f>
        <v>192.9</v>
      </c>
      <c r="Q35" s="145">
        <f>$H$72</f>
        <v>182.4</v>
      </c>
      <c r="R35" s="145">
        <f>$H$73</f>
        <v>34.1</v>
      </c>
      <c r="S35" s="145">
        <f>$H$74</f>
        <v>29.2</v>
      </c>
      <c r="T35" s="145">
        <f>$H$75</f>
        <v>28.2</v>
      </c>
      <c r="U35" s="145">
        <f>$H$76</f>
        <v>42</v>
      </c>
      <c r="V35" s="145">
        <f>$H$77</f>
        <v>50.1</v>
      </c>
      <c r="W35" s="145">
        <f>$H$78</f>
        <v>21.4</v>
      </c>
      <c r="X35" s="145">
        <f>$H$79</f>
        <v>55.2</v>
      </c>
      <c r="Y35" s="145">
        <f>$H$80</f>
        <v>34</v>
      </c>
      <c r="Z35" s="145">
        <f>$H$81</f>
        <v>10.1</v>
      </c>
      <c r="AA35" s="145">
        <f>$H$82</f>
        <v>41.6</v>
      </c>
      <c r="AB35" s="145">
        <f>$H$83</f>
        <v>61</v>
      </c>
      <c r="AC35" s="145">
        <f>$H$84</f>
        <v>17.7</v>
      </c>
      <c r="AD35" s="241">
        <f>$H$85</f>
        <v>30.1</v>
      </c>
    </row>
    <row r="36" spans="2:30" x14ac:dyDescent="0.45">
      <c r="B36" s="134" t="s">
        <v>98</v>
      </c>
      <c r="C36" s="121">
        <v>44</v>
      </c>
      <c r="D36" s="121">
        <v>50.4</v>
      </c>
      <c r="E36" s="121">
        <v>50.1</v>
      </c>
      <c r="F36" s="121">
        <v>59.5</v>
      </c>
      <c r="G36" s="121">
        <v>40.1</v>
      </c>
      <c r="H36" s="135">
        <v>34.700000000000003</v>
      </c>
      <c r="K36" s="133"/>
      <c r="L36" s="242" t="s">
        <v>326</v>
      </c>
      <c r="M36" s="146" t="s">
        <v>315</v>
      </c>
      <c r="N36" s="147" t="str">
        <f t="shared" si="0"/>
        <v>Urban South Island Couple Only</v>
      </c>
      <c r="O36" s="97">
        <f>$C$89</f>
        <v>249.2</v>
      </c>
      <c r="P36" s="97">
        <f>$C$90</f>
        <v>268.10000000000002</v>
      </c>
      <c r="Q36" s="97">
        <f>$C$91</f>
        <v>436.9</v>
      </c>
      <c r="R36" s="97">
        <f>$C$92</f>
        <v>15.1</v>
      </c>
      <c r="S36" s="97">
        <f>$C$93</f>
        <v>46</v>
      </c>
      <c r="T36" s="97">
        <f>$C$94</f>
        <v>32.6</v>
      </c>
      <c r="U36" s="97">
        <f>$C$95</f>
        <v>87.9</v>
      </c>
      <c r="V36" s="97">
        <f>$C$96</f>
        <v>57.4</v>
      </c>
      <c r="W36" s="97">
        <f>$C$97</f>
        <v>30.1</v>
      </c>
      <c r="X36" s="97">
        <f>$C$98</f>
        <v>53.8</v>
      </c>
      <c r="Y36" s="97">
        <f>$C$99</f>
        <v>65.900000000000006</v>
      </c>
      <c r="Z36" s="97">
        <f>$C$100</f>
        <v>17.399999999999999</v>
      </c>
      <c r="AA36" s="97">
        <f>$C$101</f>
        <v>78.3</v>
      </c>
      <c r="AB36" s="97">
        <f>$C$102</f>
        <v>94.6</v>
      </c>
      <c r="AC36" s="97">
        <f>$C$103</f>
        <v>37.4</v>
      </c>
      <c r="AD36" s="243">
        <f>$C$104</f>
        <v>39.5</v>
      </c>
    </row>
    <row r="37" spans="2:30" x14ac:dyDescent="0.45">
      <c r="B37" s="134" t="s">
        <v>99</v>
      </c>
      <c r="C37" s="121">
        <v>33.4</v>
      </c>
      <c r="D37" s="121">
        <v>33.200000000000003</v>
      </c>
      <c r="E37" s="121">
        <v>34.799999999999997</v>
      </c>
      <c r="F37" s="121">
        <v>45</v>
      </c>
      <c r="G37" s="121">
        <v>28.3</v>
      </c>
      <c r="H37" s="135">
        <v>27.1</v>
      </c>
      <c r="K37" s="133"/>
      <c r="L37" s="242" t="s">
        <v>326</v>
      </c>
      <c r="M37" s="146" t="s">
        <v>316</v>
      </c>
      <c r="N37" s="147" t="str">
        <f t="shared" si="0"/>
        <v>Urban South Island Couple with 1 dependent child</v>
      </c>
      <c r="O37" s="97">
        <f>$D$89</f>
        <v>291.3</v>
      </c>
      <c r="P37" s="97">
        <f>$D$90</f>
        <v>365.3</v>
      </c>
      <c r="Q37" s="97">
        <f>$D$91</f>
        <v>404.7</v>
      </c>
      <c r="R37" s="97">
        <f>$D$92</f>
        <v>15.6</v>
      </c>
      <c r="S37" s="97">
        <f>$D$93</f>
        <v>56.6</v>
      </c>
      <c r="T37" s="97">
        <f>$D$94</f>
        <v>38.200000000000003</v>
      </c>
      <c r="U37" s="97">
        <f>$D$95</f>
        <v>74.599999999999994</v>
      </c>
      <c r="V37" s="97">
        <f>$D$96</f>
        <v>49.7</v>
      </c>
      <c r="W37" s="97">
        <f>$D$97</f>
        <v>27.3</v>
      </c>
      <c r="X37" s="97">
        <f>$D$98</f>
        <v>28.4</v>
      </c>
      <c r="Y37" s="97">
        <f>$D$99</f>
        <v>63.4</v>
      </c>
      <c r="Z37" s="97">
        <f>$D$100</f>
        <v>14.6</v>
      </c>
      <c r="AA37" s="97">
        <f>$D$101</f>
        <v>47.9</v>
      </c>
      <c r="AB37" s="97">
        <f>$D$102</f>
        <v>66.599999999999994</v>
      </c>
      <c r="AC37" s="97">
        <f>$D$103</f>
        <v>24.1</v>
      </c>
      <c r="AD37" s="243">
        <f>$D$104</f>
        <v>68.599999999999994</v>
      </c>
    </row>
    <row r="38" spans="2:30" x14ac:dyDescent="0.45">
      <c r="B38" s="134" t="s">
        <v>100</v>
      </c>
      <c r="C38" s="121">
        <v>86.4</v>
      </c>
      <c r="D38" s="121">
        <v>167.3</v>
      </c>
      <c r="E38" s="121">
        <v>103.5</v>
      </c>
      <c r="F38" s="121">
        <v>57.4</v>
      </c>
      <c r="G38" s="121">
        <v>36.6</v>
      </c>
      <c r="H38" s="135">
        <v>52.7</v>
      </c>
      <c r="K38" s="133"/>
      <c r="L38" s="242" t="s">
        <v>326</v>
      </c>
      <c r="M38" s="146" t="s">
        <v>317</v>
      </c>
      <c r="N38" s="147" t="str">
        <f t="shared" si="0"/>
        <v>Urban South Island Couple with 2 dependent children</v>
      </c>
      <c r="O38" s="97">
        <f>$E$89</f>
        <v>335.3</v>
      </c>
      <c r="P38" s="97">
        <f>$E$90</f>
        <v>347</v>
      </c>
      <c r="Q38" s="97">
        <f>$E$91</f>
        <v>357.5</v>
      </c>
      <c r="R38" s="97">
        <f>$E$92</f>
        <v>23.4</v>
      </c>
      <c r="S38" s="97">
        <f>$E$93</f>
        <v>58.7</v>
      </c>
      <c r="T38" s="97">
        <f>$E$94</f>
        <v>41.6</v>
      </c>
      <c r="U38" s="97">
        <f>$E$95</f>
        <v>122.6</v>
      </c>
      <c r="V38" s="97">
        <f>$E$96</f>
        <v>76.2</v>
      </c>
      <c r="W38" s="97">
        <f>$E$97</f>
        <v>39.799999999999997</v>
      </c>
      <c r="X38" s="97">
        <f>$E$98</f>
        <v>55.7</v>
      </c>
      <c r="Y38" s="97">
        <f>$E$99</f>
        <v>91.8</v>
      </c>
      <c r="Z38" s="97">
        <f>$E$100</f>
        <v>25.4</v>
      </c>
      <c r="AA38" s="97">
        <f>$E$101</f>
        <v>39.5</v>
      </c>
      <c r="AB38" s="97">
        <f>$E$102</f>
        <v>94.5</v>
      </c>
      <c r="AC38" s="97">
        <f>$E$103</f>
        <v>22</v>
      </c>
      <c r="AD38" s="243">
        <f>$E$104</f>
        <v>39.4</v>
      </c>
    </row>
    <row r="39" spans="2:30" x14ac:dyDescent="0.45">
      <c r="B39" s="134" t="s">
        <v>101</v>
      </c>
      <c r="C39" s="121">
        <v>62.2</v>
      </c>
      <c r="D39" s="121">
        <v>57.2</v>
      </c>
      <c r="E39" s="121">
        <v>61.8</v>
      </c>
      <c r="F39" s="121">
        <v>38.200000000000003</v>
      </c>
      <c r="G39" s="121">
        <v>36.9</v>
      </c>
      <c r="H39" s="135">
        <v>48.4</v>
      </c>
      <c r="K39" s="133"/>
      <c r="L39" s="242" t="s">
        <v>326</v>
      </c>
      <c r="M39" s="146" t="s">
        <v>67</v>
      </c>
      <c r="N39" s="147" t="str">
        <f t="shared" si="0"/>
        <v>Urban South Island Couple with 3 dependent children</v>
      </c>
      <c r="O39" s="97">
        <f>$F$89</f>
        <v>276.10000000000002</v>
      </c>
      <c r="P39" s="97">
        <f>$F$90</f>
        <v>260.89999999999998</v>
      </c>
      <c r="Q39" s="97">
        <f>$F$91</f>
        <v>377</v>
      </c>
      <c r="R39" s="97">
        <f>$F$92</f>
        <v>38.1</v>
      </c>
      <c r="S39" s="97">
        <f>$F$93</f>
        <v>57.5</v>
      </c>
      <c r="T39" s="97">
        <f>$F$94</f>
        <v>42</v>
      </c>
      <c r="U39" s="97">
        <f>$F$95</f>
        <v>159.5</v>
      </c>
      <c r="V39" s="97">
        <f>$F$96</f>
        <v>46.9</v>
      </c>
      <c r="W39" s="97">
        <f>$F$97</f>
        <v>30.3</v>
      </c>
      <c r="X39" s="97">
        <f>$F$98</f>
        <v>34.9</v>
      </c>
      <c r="Y39" s="97">
        <f>$F$99</f>
        <v>44.4</v>
      </c>
      <c r="Z39" s="97">
        <f>$F$100</f>
        <v>12.8</v>
      </c>
      <c r="AA39" s="97">
        <f>$F$101</f>
        <v>44.6</v>
      </c>
      <c r="AB39" s="97">
        <f>$F$102</f>
        <v>28.3</v>
      </c>
      <c r="AC39" s="97">
        <f>$F$103</f>
        <v>49.2</v>
      </c>
      <c r="AD39" s="243">
        <f>$F$104</f>
        <v>46.8</v>
      </c>
    </row>
    <row r="40" spans="2:30" x14ac:dyDescent="0.45">
      <c r="B40" s="134" t="s">
        <v>102</v>
      </c>
      <c r="C40" s="121">
        <v>30.3</v>
      </c>
      <c r="D40" s="121">
        <v>28.5</v>
      </c>
      <c r="E40" s="121">
        <v>28.6</v>
      </c>
      <c r="F40" s="121">
        <v>39.799999999999997</v>
      </c>
      <c r="G40" s="121">
        <v>21.9</v>
      </c>
      <c r="H40" s="135">
        <v>21.3</v>
      </c>
      <c r="K40" s="133"/>
      <c r="L40" s="242" t="s">
        <v>326</v>
      </c>
      <c r="M40" s="146" t="s">
        <v>318</v>
      </c>
      <c r="N40" s="147" t="str">
        <f t="shared" si="0"/>
        <v>Urban South Island 1 parent with dependent child(ren)</v>
      </c>
      <c r="O40" s="97">
        <f>$G$89</f>
        <v>175.5</v>
      </c>
      <c r="P40" s="97">
        <f>$G$90</f>
        <v>288</v>
      </c>
      <c r="Q40" s="97">
        <f>$G$91</f>
        <v>258</v>
      </c>
      <c r="R40" s="97">
        <f>$G$92</f>
        <v>27</v>
      </c>
      <c r="S40" s="97">
        <f>$G$93</f>
        <v>41.9</v>
      </c>
      <c r="T40" s="97">
        <f>$G$94</f>
        <v>33</v>
      </c>
      <c r="U40" s="97">
        <f>$G$95</f>
        <v>76.7</v>
      </c>
      <c r="V40" s="97">
        <f>$G$96</f>
        <v>46.2</v>
      </c>
      <c r="W40" s="97">
        <f>$G$97</f>
        <v>23.5</v>
      </c>
      <c r="X40" s="97">
        <f>$G$98</f>
        <v>64.2</v>
      </c>
      <c r="Y40" s="97">
        <f>$G$99</f>
        <v>51.3</v>
      </c>
      <c r="Z40" s="97">
        <f>$G$100</f>
        <v>11.8</v>
      </c>
      <c r="AA40" s="97">
        <f>$G$101</f>
        <v>28.1</v>
      </c>
      <c r="AB40" s="97">
        <f>$G$102</f>
        <v>64.599999999999994</v>
      </c>
      <c r="AC40" s="97">
        <f>$G$103</f>
        <v>8.3000000000000007</v>
      </c>
      <c r="AD40" s="243">
        <f>$G$104</f>
        <v>30.9</v>
      </c>
    </row>
    <row r="41" spans="2:30" x14ac:dyDescent="0.45">
      <c r="B41" s="134" t="s">
        <v>103</v>
      </c>
      <c r="C41" s="121">
        <v>76.2</v>
      </c>
      <c r="D41" s="121">
        <v>48.6</v>
      </c>
      <c r="E41" s="121">
        <v>47.9</v>
      </c>
      <c r="F41" s="121">
        <v>29</v>
      </c>
      <c r="G41" s="121">
        <v>44.1</v>
      </c>
      <c r="H41" s="135">
        <v>51.2</v>
      </c>
      <c r="K41" s="133"/>
      <c r="L41" s="242" t="s">
        <v>326</v>
      </c>
      <c r="M41" s="146" t="s">
        <v>319</v>
      </c>
      <c r="N41" s="147" t="str">
        <f t="shared" si="0"/>
        <v>Urban South Island 1 person</v>
      </c>
      <c r="O41" s="97">
        <f>$H$89</f>
        <v>105.7</v>
      </c>
      <c r="P41" s="97">
        <f>$H$90</f>
        <v>199.2</v>
      </c>
      <c r="Q41" s="97">
        <f>$H$91</f>
        <v>291</v>
      </c>
      <c r="R41" s="97">
        <f>$H$92</f>
        <v>33.200000000000003</v>
      </c>
      <c r="S41" s="97">
        <f>$H$93</f>
        <v>28.5</v>
      </c>
      <c r="T41" s="97">
        <f>$H$94</f>
        <v>26.7</v>
      </c>
      <c r="U41" s="97">
        <f>$H$95</f>
        <v>46.8</v>
      </c>
      <c r="V41" s="97">
        <f>$H$96</f>
        <v>48.4</v>
      </c>
      <c r="W41" s="97">
        <f>$H$97</f>
        <v>26.5</v>
      </c>
      <c r="X41" s="97">
        <f>$H$98</f>
        <v>37.6</v>
      </c>
      <c r="Y41" s="97">
        <f>$H$99</f>
        <v>43.2</v>
      </c>
      <c r="Z41" s="97">
        <f>$H$100</f>
        <v>10.3</v>
      </c>
      <c r="AA41" s="97">
        <f>$H$101</f>
        <v>39</v>
      </c>
      <c r="AB41" s="97">
        <f>$H$102</f>
        <v>99.6</v>
      </c>
      <c r="AC41" s="97">
        <f>$H$103</f>
        <v>16.600000000000001</v>
      </c>
      <c r="AD41" s="243">
        <f>$H$104</f>
        <v>26.3</v>
      </c>
    </row>
    <row r="42" spans="2:30" x14ac:dyDescent="0.45">
      <c r="B42" s="134" t="s">
        <v>104</v>
      </c>
      <c r="C42" s="121">
        <v>68.8</v>
      </c>
      <c r="D42" s="121">
        <v>44.6</v>
      </c>
      <c r="E42" s="121">
        <v>87.5</v>
      </c>
      <c r="F42" s="121">
        <v>118.4</v>
      </c>
      <c r="G42" s="121">
        <v>42.9</v>
      </c>
      <c r="H42" s="135">
        <v>46.4</v>
      </c>
      <c r="K42" s="133"/>
      <c r="L42" s="238" t="s">
        <v>327</v>
      </c>
      <c r="M42" s="137" t="s">
        <v>315</v>
      </c>
      <c r="N42" s="138" t="str">
        <f t="shared" si="0"/>
        <v>Rural Couple Only</v>
      </c>
      <c r="O42" s="139">
        <f>$C$108</f>
        <v>233.9</v>
      </c>
      <c r="P42" s="139">
        <f>$C$109</f>
        <v>233.8</v>
      </c>
      <c r="Q42" s="139">
        <f>$C$110</f>
        <v>452.7</v>
      </c>
      <c r="R42" s="139">
        <f>$C$111</f>
        <v>34.4</v>
      </c>
      <c r="S42" s="139">
        <f>$C$112</f>
        <v>50</v>
      </c>
      <c r="T42" s="139">
        <f>$C$113</f>
        <v>34.799999999999997</v>
      </c>
      <c r="U42" s="139">
        <f>$C$114</f>
        <v>87.8</v>
      </c>
      <c r="V42" s="139">
        <f>$C$115</f>
        <v>52.3</v>
      </c>
      <c r="W42" s="139">
        <f>$C$116</f>
        <v>31.3</v>
      </c>
      <c r="X42" s="139">
        <f>$C$117</f>
        <v>73.599999999999994</v>
      </c>
      <c r="Y42" s="139">
        <f>$C$118</f>
        <v>84.1</v>
      </c>
      <c r="Z42" s="139">
        <f>$C$119</f>
        <v>16.899999999999999</v>
      </c>
      <c r="AA42" s="139">
        <f>$C$120</f>
        <v>75.7</v>
      </c>
      <c r="AB42" s="139">
        <f>$C$121</f>
        <v>86.1</v>
      </c>
      <c r="AC42" s="139">
        <f>$C$122</f>
        <v>38.6</v>
      </c>
      <c r="AD42" s="239">
        <f>$C$123</f>
        <v>46.5</v>
      </c>
    </row>
    <row r="43" spans="2:30" x14ac:dyDescent="0.45">
      <c r="B43" s="134" t="s">
        <v>105</v>
      </c>
      <c r="C43" s="121">
        <v>23.5</v>
      </c>
      <c r="D43" s="121">
        <v>16.600000000000001</v>
      </c>
      <c r="E43" s="121">
        <v>14.8</v>
      </c>
      <c r="F43" s="121">
        <v>25.5</v>
      </c>
      <c r="G43" s="121">
        <v>11</v>
      </c>
      <c r="H43" s="135">
        <v>10.6</v>
      </c>
      <c r="K43" s="133"/>
      <c r="L43" s="238" t="s">
        <v>327</v>
      </c>
      <c r="M43" s="137" t="s">
        <v>316</v>
      </c>
      <c r="N43" s="138" t="str">
        <f t="shared" si="0"/>
        <v>Rural Couple with 1 dependent child</v>
      </c>
      <c r="O43" s="139">
        <f>$D$108</f>
        <v>257.3</v>
      </c>
      <c r="P43" s="139">
        <f>$D$109</f>
        <v>136.80000000000001</v>
      </c>
      <c r="Q43" s="139">
        <f>$D$110</f>
        <v>433.6</v>
      </c>
      <c r="R43" s="139">
        <f>$D$111</f>
        <v>37.299999999999997</v>
      </c>
      <c r="S43" s="139">
        <f>$D$112</f>
        <v>49.3</v>
      </c>
      <c r="T43" s="139">
        <f>$D$113</f>
        <v>30.4</v>
      </c>
      <c r="U43" s="139">
        <f>$D$114</f>
        <v>84.8</v>
      </c>
      <c r="V43" s="139">
        <f>$D$115</f>
        <v>53.4</v>
      </c>
      <c r="W43" s="139">
        <f>$D$116</f>
        <v>26.6</v>
      </c>
      <c r="X43" s="139">
        <f>$D$117</f>
        <v>20.9</v>
      </c>
      <c r="Y43" s="139">
        <f>$D$118</f>
        <v>99.4</v>
      </c>
      <c r="Z43" s="139">
        <f>$D$119</f>
        <v>18.3</v>
      </c>
      <c r="AA43" s="139">
        <f>$D$120</f>
        <v>42.7</v>
      </c>
      <c r="AB43" s="139">
        <f>$D$121</f>
        <v>40.4</v>
      </c>
      <c r="AC43" s="139">
        <f>$D$122</f>
        <v>22.6</v>
      </c>
      <c r="AD43" s="239">
        <f>$D$123</f>
        <v>62.2</v>
      </c>
    </row>
    <row r="44" spans="2:30" x14ac:dyDescent="0.45">
      <c r="B44" s="134" t="s">
        <v>106</v>
      </c>
      <c r="C44" s="121">
        <v>44</v>
      </c>
      <c r="D44" s="121">
        <v>41.3</v>
      </c>
      <c r="E44" s="121">
        <v>39.5</v>
      </c>
      <c r="F44" s="121">
        <v>67.400000000000006</v>
      </c>
      <c r="G44" s="121">
        <v>17.399999999999999</v>
      </c>
      <c r="H44" s="135">
        <v>45.2</v>
      </c>
      <c r="K44" s="133"/>
      <c r="L44" s="238" t="s">
        <v>327</v>
      </c>
      <c r="M44" s="137" t="s">
        <v>317</v>
      </c>
      <c r="N44" s="138" t="str">
        <f t="shared" si="0"/>
        <v>Rural Couple with 2 dependent children</v>
      </c>
      <c r="O44" s="139">
        <f>$E$108</f>
        <v>257.5</v>
      </c>
      <c r="P44" s="139">
        <f>$E$109</f>
        <v>199.9</v>
      </c>
      <c r="Q44" s="139">
        <f>$E$110</f>
        <v>426.7</v>
      </c>
      <c r="R44" s="139">
        <f>$E$111</f>
        <v>11.6</v>
      </c>
      <c r="S44" s="139">
        <f>$E$112</f>
        <v>62.5</v>
      </c>
      <c r="T44" s="139">
        <f>$E$113</f>
        <v>44.7</v>
      </c>
      <c r="U44" s="139">
        <f>$E$114</f>
        <v>110.1</v>
      </c>
      <c r="V44" s="139">
        <f>$E$115</f>
        <v>51.6</v>
      </c>
      <c r="W44" s="139">
        <f>$E$116</f>
        <v>30.5</v>
      </c>
      <c r="X44" s="139">
        <f>$E$117</f>
        <v>99.4</v>
      </c>
      <c r="Y44" s="139">
        <f>$E$118</f>
        <v>117.3</v>
      </c>
      <c r="Z44" s="139">
        <f>$E$119</f>
        <v>18.2</v>
      </c>
      <c r="AA44" s="139">
        <f>$E$120</f>
        <v>45.9</v>
      </c>
      <c r="AB44" s="139">
        <f>$E$121</f>
        <v>98.4</v>
      </c>
      <c r="AC44" s="139">
        <f>$E$122</f>
        <v>24.8</v>
      </c>
      <c r="AD44" s="239">
        <f>$E$123</f>
        <v>54.6</v>
      </c>
    </row>
    <row r="45" spans="2:30" x14ac:dyDescent="0.45">
      <c r="B45" s="134" t="s">
        <v>107</v>
      </c>
      <c r="C45" s="121">
        <v>73.3</v>
      </c>
      <c r="D45" s="121">
        <v>65</v>
      </c>
      <c r="E45" s="121">
        <v>47.2</v>
      </c>
      <c r="F45" s="121">
        <v>46.5</v>
      </c>
      <c r="G45" s="121">
        <v>41.9</v>
      </c>
      <c r="H45" s="135">
        <v>37.799999999999997</v>
      </c>
      <c r="K45" s="133"/>
      <c r="L45" s="238" t="s">
        <v>327</v>
      </c>
      <c r="M45" s="137" t="s">
        <v>67</v>
      </c>
      <c r="N45" s="138" t="str">
        <f t="shared" si="0"/>
        <v>Rural Couple with 3 dependent children</v>
      </c>
      <c r="O45" s="139">
        <f>$F$108</f>
        <v>358.4</v>
      </c>
      <c r="P45" s="139">
        <f>$F$109</f>
        <v>294.3</v>
      </c>
      <c r="Q45" s="139">
        <f>$F$110</f>
        <v>820.6</v>
      </c>
      <c r="R45" s="139">
        <f>$F$111</f>
        <v>20.3</v>
      </c>
      <c r="S45" s="139">
        <f>$F$112</f>
        <v>56.9</v>
      </c>
      <c r="T45" s="139">
        <f>$F$113</f>
        <v>36.6</v>
      </c>
      <c r="U45" s="139">
        <f>$F$114</f>
        <v>115</v>
      </c>
      <c r="V45" s="139">
        <f>$F$115</f>
        <v>38.299999999999997</v>
      </c>
      <c r="W45" s="139">
        <f>$F$116</f>
        <v>30.7</v>
      </c>
      <c r="X45" s="139">
        <f>$F$117</f>
        <v>56.1</v>
      </c>
      <c r="Y45" s="139">
        <f>$F$118</f>
        <v>107.7</v>
      </c>
      <c r="Z45" s="139">
        <f>$F$119</f>
        <v>14.9</v>
      </c>
      <c r="AA45" s="139">
        <f>$F$120</f>
        <v>37.700000000000003</v>
      </c>
      <c r="AB45" s="139">
        <f>$F$121</f>
        <v>81.599999999999994</v>
      </c>
      <c r="AC45" s="139">
        <f>$F$122</f>
        <v>28.8</v>
      </c>
      <c r="AD45" s="239">
        <f>$F$123</f>
        <v>56.5</v>
      </c>
    </row>
    <row r="46" spans="2:30" x14ac:dyDescent="0.45">
      <c r="B46" s="134" t="s">
        <v>108</v>
      </c>
      <c r="C46" s="121">
        <v>34.9</v>
      </c>
      <c r="D46" s="121">
        <v>16.600000000000001</v>
      </c>
      <c r="E46" s="121">
        <v>27.7</v>
      </c>
      <c r="F46" s="121">
        <v>29.7</v>
      </c>
      <c r="G46" s="121">
        <v>7.1</v>
      </c>
      <c r="H46" s="135">
        <v>16.8</v>
      </c>
      <c r="K46" s="133"/>
      <c r="L46" s="238" t="s">
        <v>327</v>
      </c>
      <c r="M46" s="137" t="s">
        <v>318</v>
      </c>
      <c r="N46" s="138" t="str">
        <f t="shared" si="0"/>
        <v>Rural 1 parent with dependent child(ren)</v>
      </c>
      <c r="O46" s="139">
        <f>$G$108</f>
        <v>155.9</v>
      </c>
      <c r="P46" s="139">
        <f>$G$109</f>
        <v>278.7</v>
      </c>
      <c r="Q46" s="139">
        <f>$G$110</f>
        <v>327.2</v>
      </c>
      <c r="R46" s="139">
        <f>$G$111</f>
        <v>28</v>
      </c>
      <c r="S46" s="139">
        <f>$G$112</f>
        <v>44.4</v>
      </c>
      <c r="T46" s="139">
        <f>$G$113</f>
        <v>27</v>
      </c>
      <c r="U46" s="139">
        <f>$G$114</f>
        <v>83.1</v>
      </c>
      <c r="V46" s="139">
        <f>$G$115</f>
        <v>32.1</v>
      </c>
      <c r="W46" s="139">
        <f>$G$116</f>
        <v>21.1</v>
      </c>
      <c r="X46" s="139">
        <f>$G$117</f>
        <v>64.2</v>
      </c>
      <c r="Y46" s="139">
        <f>$G$118</f>
        <v>60.5</v>
      </c>
      <c r="Z46" s="139">
        <f>$G$119</f>
        <v>9.1999999999999993</v>
      </c>
      <c r="AA46" s="139">
        <f>$G$120</f>
        <v>19.399999999999999</v>
      </c>
      <c r="AB46" s="139">
        <f>$G$121</f>
        <v>92.4</v>
      </c>
      <c r="AC46" s="139">
        <f>$G$122</f>
        <v>13.8</v>
      </c>
      <c r="AD46" s="239">
        <f>$G$123</f>
        <v>40.1</v>
      </c>
    </row>
    <row r="47" spans="2:30" ht="14.65" thickBot="1" x14ac:dyDescent="0.5">
      <c r="B47" s="140" t="s">
        <v>328</v>
      </c>
      <c r="C47" s="141">
        <v>38</v>
      </c>
      <c r="D47" s="141">
        <v>38.4</v>
      </c>
      <c r="E47" s="141">
        <v>40.9</v>
      </c>
      <c r="F47" s="141">
        <v>31.7</v>
      </c>
      <c r="G47" s="141">
        <v>14.6</v>
      </c>
      <c r="H47" s="142">
        <v>25</v>
      </c>
      <c r="K47" s="133"/>
      <c r="L47" s="244" t="s">
        <v>327</v>
      </c>
      <c r="M47" s="245" t="s">
        <v>319</v>
      </c>
      <c r="N47" s="246" t="str">
        <f t="shared" si="0"/>
        <v>Rural 1 person</v>
      </c>
      <c r="O47" s="247">
        <f>$H$108</f>
        <v>107.3</v>
      </c>
      <c r="P47" s="247">
        <f>$H$109</f>
        <v>193</v>
      </c>
      <c r="Q47" s="247">
        <f>$H$110</f>
        <v>311.8</v>
      </c>
      <c r="R47" s="247">
        <f>$H$111</f>
        <v>54.1</v>
      </c>
      <c r="S47" s="247">
        <f>$H$112</f>
        <v>35.6</v>
      </c>
      <c r="T47" s="247">
        <f>$H$113</f>
        <v>28.4</v>
      </c>
      <c r="U47" s="247">
        <f>$H$114</f>
        <v>87.5</v>
      </c>
      <c r="V47" s="247">
        <f>$H$115</f>
        <v>45.3</v>
      </c>
      <c r="W47" s="247">
        <f>$H$116</f>
        <v>24.7</v>
      </c>
      <c r="X47" s="247">
        <f>$H$117</f>
        <v>85.5</v>
      </c>
      <c r="Y47" s="247">
        <f>$H$118</f>
        <v>51.4</v>
      </c>
      <c r="Z47" s="247">
        <f>$H$119</f>
        <v>9.4</v>
      </c>
      <c r="AA47" s="247">
        <f>$H$120</f>
        <v>54.9</v>
      </c>
      <c r="AB47" s="247">
        <f>$H$121</f>
        <v>33</v>
      </c>
      <c r="AC47" s="247">
        <f>$H$122</f>
        <v>32.4</v>
      </c>
      <c r="AD47" s="248">
        <f>$H$123</f>
        <v>28.3</v>
      </c>
    </row>
    <row r="48" spans="2:30" ht="14.65" thickBot="1" x14ac:dyDescent="0.5"/>
    <row r="49" spans="2:8" x14ac:dyDescent="0.45">
      <c r="B49" s="122" t="s">
        <v>321</v>
      </c>
      <c r="C49" s="752" t="s">
        <v>311</v>
      </c>
      <c r="D49" s="752"/>
      <c r="E49" s="752"/>
      <c r="F49" s="752"/>
      <c r="G49" s="752"/>
      <c r="H49" s="753"/>
    </row>
    <row r="50" spans="2:8" ht="43.15" thickBot="1" x14ac:dyDescent="0.5">
      <c r="B50" s="148"/>
      <c r="C50" s="149" t="s">
        <v>315</v>
      </c>
      <c r="D50" s="149" t="s">
        <v>316</v>
      </c>
      <c r="E50" s="149" t="s">
        <v>323</v>
      </c>
      <c r="F50" s="149" t="s">
        <v>324</v>
      </c>
      <c r="G50" s="149" t="s">
        <v>320</v>
      </c>
      <c r="H50" s="150" t="s">
        <v>325</v>
      </c>
    </row>
    <row r="51" spans="2:8" x14ac:dyDescent="0.45">
      <c r="B51" s="130" t="s">
        <v>94</v>
      </c>
      <c r="C51" s="131">
        <v>282.7</v>
      </c>
      <c r="D51" s="131">
        <v>317.7</v>
      </c>
      <c r="E51" s="131">
        <v>373.9</v>
      </c>
      <c r="F51" s="131">
        <v>435.2</v>
      </c>
      <c r="G51" s="131">
        <v>222.7</v>
      </c>
      <c r="H51" s="132">
        <v>116.6</v>
      </c>
    </row>
    <row r="52" spans="2:8" x14ac:dyDescent="0.45">
      <c r="B52" s="134" t="s">
        <v>95</v>
      </c>
      <c r="C52" s="121">
        <v>297.3</v>
      </c>
      <c r="D52" s="121">
        <v>303.5</v>
      </c>
      <c r="E52" s="121">
        <v>465.1</v>
      </c>
      <c r="F52" s="121">
        <v>267.5</v>
      </c>
      <c r="G52" s="121">
        <v>258.89999999999998</v>
      </c>
      <c r="H52" s="135">
        <v>221.3</v>
      </c>
    </row>
    <row r="53" spans="2:8" x14ac:dyDescent="0.45">
      <c r="B53" s="134" t="s">
        <v>96</v>
      </c>
      <c r="C53" s="121">
        <v>489</v>
      </c>
      <c r="D53" s="121">
        <v>591</v>
      </c>
      <c r="E53" s="121">
        <v>498.1</v>
      </c>
      <c r="F53" s="121">
        <v>542.70000000000005</v>
      </c>
      <c r="G53" s="121">
        <v>349.1</v>
      </c>
      <c r="H53" s="135">
        <v>368.2</v>
      </c>
    </row>
    <row r="54" spans="2:8" x14ac:dyDescent="0.45">
      <c r="B54" s="134" t="s">
        <v>97</v>
      </c>
      <c r="C54" s="121">
        <v>32.299999999999997</v>
      </c>
      <c r="D54" s="121">
        <v>21.3</v>
      </c>
      <c r="E54" s="121">
        <v>41.1</v>
      </c>
      <c r="F54" s="121">
        <v>42.8</v>
      </c>
      <c r="G54" s="121">
        <v>27.1</v>
      </c>
      <c r="H54" s="135">
        <v>25</v>
      </c>
    </row>
    <row r="55" spans="2:8" x14ac:dyDescent="0.45">
      <c r="B55" s="134" t="s">
        <v>98</v>
      </c>
      <c r="C55" s="121">
        <v>46.1</v>
      </c>
      <c r="D55" s="121">
        <v>56</v>
      </c>
      <c r="E55" s="121">
        <v>57.7</v>
      </c>
      <c r="F55" s="121">
        <v>62.8</v>
      </c>
      <c r="G55" s="121">
        <v>37.5</v>
      </c>
      <c r="H55" s="135">
        <v>29.9</v>
      </c>
    </row>
    <row r="56" spans="2:8" x14ac:dyDescent="0.45">
      <c r="B56" s="134" t="s">
        <v>99</v>
      </c>
      <c r="C56" s="121">
        <v>40.200000000000003</v>
      </c>
      <c r="D56" s="121">
        <v>36.299999999999997</v>
      </c>
      <c r="E56" s="121">
        <v>43.8</v>
      </c>
      <c r="F56" s="121">
        <v>44.2</v>
      </c>
      <c r="G56" s="121">
        <v>27.4</v>
      </c>
      <c r="H56" s="135">
        <v>30.3</v>
      </c>
    </row>
    <row r="57" spans="2:8" x14ac:dyDescent="0.45">
      <c r="B57" s="134" t="s">
        <v>100</v>
      </c>
      <c r="C57" s="121">
        <v>123.9</v>
      </c>
      <c r="D57" s="121">
        <v>106.5</v>
      </c>
      <c r="E57" s="121">
        <v>147.30000000000001</v>
      </c>
      <c r="F57" s="121">
        <v>170.2</v>
      </c>
      <c r="G57" s="121">
        <v>29</v>
      </c>
      <c r="H57" s="135">
        <v>130.9</v>
      </c>
    </row>
    <row r="58" spans="2:8" x14ac:dyDescent="0.45">
      <c r="B58" s="134" t="s">
        <v>101</v>
      </c>
      <c r="C58" s="121">
        <v>70.400000000000006</v>
      </c>
      <c r="D58" s="121">
        <v>53.4</v>
      </c>
      <c r="E58" s="121">
        <v>73.900000000000006</v>
      </c>
      <c r="F58" s="121">
        <v>78.7</v>
      </c>
      <c r="G58" s="121">
        <v>51.1</v>
      </c>
      <c r="H58" s="135">
        <v>52.6</v>
      </c>
    </row>
    <row r="59" spans="2:8" x14ac:dyDescent="0.45">
      <c r="B59" s="134" t="s">
        <v>102</v>
      </c>
      <c r="C59" s="121">
        <v>37.5</v>
      </c>
      <c r="D59" s="121">
        <v>45.9</v>
      </c>
      <c r="E59" s="121">
        <v>38.1</v>
      </c>
      <c r="F59" s="121">
        <v>43.8</v>
      </c>
      <c r="G59" s="121">
        <v>24.4</v>
      </c>
      <c r="H59" s="135">
        <v>28.2</v>
      </c>
    </row>
    <row r="60" spans="2:8" x14ac:dyDescent="0.45">
      <c r="B60" s="134" t="s">
        <v>103</v>
      </c>
      <c r="C60" s="121">
        <v>142.1</v>
      </c>
      <c r="D60" s="121">
        <v>167.3</v>
      </c>
      <c r="E60" s="121">
        <v>49.9</v>
      </c>
      <c r="F60" s="121">
        <v>50.4</v>
      </c>
      <c r="G60" s="121">
        <v>44.1</v>
      </c>
      <c r="H60" s="135">
        <v>63.1</v>
      </c>
    </row>
    <row r="61" spans="2:8" x14ac:dyDescent="0.45">
      <c r="B61" s="134" t="s">
        <v>104</v>
      </c>
      <c r="C61" s="121">
        <v>77.8</v>
      </c>
      <c r="D61" s="121">
        <v>59.9</v>
      </c>
      <c r="E61" s="121">
        <v>85.2</v>
      </c>
      <c r="F61" s="121">
        <v>106.8</v>
      </c>
      <c r="G61" s="121">
        <v>69.3</v>
      </c>
      <c r="H61" s="135">
        <v>31.7</v>
      </c>
    </row>
    <row r="62" spans="2:8" x14ac:dyDescent="0.45">
      <c r="B62" s="134" t="s">
        <v>105</v>
      </c>
      <c r="C62" s="121">
        <v>18.899999999999999</v>
      </c>
      <c r="D62" s="121">
        <v>18.8</v>
      </c>
      <c r="E62" s="121">
        <v>17</v>
      </c>
      <c r="F62" s="121">
        <v>20.7</v>
      </c>
      <c r="G62" s="121">
        <v>8.9</v>
      </c>
      <c r="H62" s="135">
        <v>12.9</v>
      </c>
    </row>
    <row r="63" spans="2:8" x14ac:dyDescent="0.45">
      <c r="B63" s="134" t="s">
        <v>106</v>
      </c>
      <c r="C63" s="121">
        <v>67.400000000000006</v>
      </c>
      <c r="D63" s="121">
        <v>38</v>
      </c>
      <c r="E63" s="121">
        <v>46</v>
      </c>
      <c r="F63" s="121">
        <v>67.400000000000006</v>
      </c>
      <c r="G63" s="121">
        <v>17.399999999999999</v>
      </c>
      <c r="H63" s="135">
        <v>29.3</v>
      </c>
    </row>
    <row r="64" spans="2:8" x14ac:dyDescent="0.45">
      <c r="B64" s="134" t="s">
        <v>107</v>
      </c>
      <c r="C64" s="121">
        <v>66.7</v>
      </c>
      <c r="D64" s="121">
        <v>90.9</v>
      </c>
      <c r="E64" s="121">
        <v>70.599999999999994</v>
      </c>
      <c r="F64" s="121">
        <v>109.9</v>
      </c>
      <c r="G64" s="121">
        <v>32.5</v>
      </c>
      <c r="H64" s="135">
        <v>34.6</v>
      </c>
    </row>
    <row r="65" spans="2:8" x14ac:dyDescent="0.45">
      <c r="B65" s="134" t="s">
        <v>108</v>
      </c>
      <c r="C65" s="121">
        <v>32.799999999999997</v>
      </c>
      <c r="D65" s="121">
        <v>30.2</v>
      </c>
      <c r="E65" s="121">
        <v>38.299999999999997</v>
      </c>
      <c r="F65" s="121">
        <v>36.1</v>
      </c>
      <c r="G65" s="121">
        <v>10.1</v>
      </c>
      <c r="H65" s="135">
        <v>14.2</v>
      </c>
    </row>
    <row r="66" spans="2:8" ht="14.65" thickBot="1" x14ac:dyDescent="0.5">
      <c r="B66" s="140" t="s">
        <v>328</v>
      </c>
      <c r="C66" s="141">
        <v>36.700000000000003</v>
      </c>
      <c r="D66" s="141">
        <v>35.200000000000003</v>
      </c>
      <c r="E66" s="141">
        <v>51.1</v>
      </c>
      <c r="F66" s="141">
        <v>48.3</v>
      </c>
      <c r="G66" s="141">
        <v>20.6</v>
      </c>
      <c r="H66" s="142">
        <v>31.8</v>
      </c>
    </row>
    <row r="67" spans="2:8" ht="14.65" thickBot="1" x14ac:dyDescent="0.5"/>
    <row r="68" spans="2:8" x14ac:dyDescent="0.45">
      <c r="B68" s="122" t="s">
        <v>322</v>
      </c>
      <c r="C68" s="752" t="s">
        <v>311</v>
      </c>
      <c r="D68" s="752"/>
      <c r="E68" s="752"/>
      <c r="F68" s="752"/>
      <c r="G68" s="752"/>
      <c r="H68" s="753"/>
    </row>
    <row r="69" spans="2:8" ht="43.15" thickBot="1" x14ac:dyDescent="0.5">
      <c r="B69" s="148"/>
      <c r="C69" s="149" t="s">
        <v>315</v>
      </c>
      <c r="D69" s="149" t="s">
        <v>316</v>
      </c>
      <c r="E69" s="149" t="s">
        <v>323</v>
      </c>
      <c r="F69" s="149" t="s">
        <v>324</v>
      </c>
      <c r="G69" s="149" t="s">
        <v>320</v>
      </c>
      <c r="H69" s="150" t="s">
        <v>325</v>
      </c>
    </row>
    <row r="70" spans="2:8" x14ac:dyDescent="0.45">
      <c r="B70" s="130" t="s">
        <v>94</v>
      </c>
      <c r="C70" s="131">
        <v>206</v>
      </c>
      <c r="D70" s="131">
        <v>330.8</v>
      </c>
      <c r="E70" s="131">
        <v>329.1</v>
      </c>
      <c r="F70" s="131">
        <v>323.3</v>
      </c>
      <c r="G70" s="131">
        <v>146.19999999999999</v>
      </c>
      <c r="H70" s="132">
        <v>92.1</v>
      </c>
    </row>
    <row r="71" spans="2:8" x14ac:dyDescent="0.45">
      <c r="B71" s="134" t="s">
        <v>95</v>
      </c>
      <c r="C71" s="121">
        <v>240.9</v>
      </c>
      <c r="D71" s="121">
        <v>285.2</v>
      </c>
      <c r="E71" s="121">
        <v>243.6</v>
      </c>
      <c r="F71" s="121">
        <v>275.10000000000002</v>
      </c>
      <c r="G71" s="121">
        <v>255.1</v>
      </c>
      <c r="H71" s="135">
        <v>192.9</v>
      </c>
    </row>
    <row r="72" spans="2:8" x14ac:dyDescent="0.45">
      <c r="B72" s="134" t="s">
        <v>96</v>
      </c>
      <c r="C72" s="121">
        <v>343.9</v>
      </c>
      <c r="D72" s="121">
        <v>439</v>
      </c>
      <c r="E72" s="121">
        <v>311</v>
      </c>
      <c r="F72" s="121">
        <v>439.8</v>
      </c>
      <c r="G72" s="121">
        <v>263.3</v>
      </c>
      <c r="H72" s="135">
        <v>182.4</v>
      </c>
    </row>
    <row r="73" spans="2:8" x14ac:dyDescent="0.45">
      <c r="B73" s="134" t="s">
        <v>97</v>
      </c>
      <c r="C73" s="121">
        <v>15.1</v>
      </c>
      <c r="D73" s="121">
        <v>40.299999999999997</v>
      </c>
      <c r="E73" s="121">
        <v>27.3</v>
      </c>
      <c r="F73" s="121">
        <v>47.1</v>
      </c>
      <c r="G73" s="121">
        <v>27.1</v>
      </c>
      <c r="H73" s="135">
        <v>34.1</v>
      </c>
    </row>
    <row r="74" spans="2:8" x14ac:dyDescent="0.45">
      <c r="B74" s="134" t="s">
        <v>98</v>
      </c>
      <c r="C74" s="121">
        <v>46</v>
      </c>
      <c r="D74" s="121">
        <v>65.3</v>
      </c>
      <c r="E74" s="121">
        <v>48.9</v>
      </c>
      <c r="F74" s="121">
        <v>56.5</v>
      </c>
      <c r="G74" s="121">
        <v>41.7</v>
      </c>
      <c r="H74" s="135">
        <v>29.2</v>
      </c>
    </row>
    <row r="75" spans="2:8" x14ac:dyDescent="0.45">
      <c r="B75" s="134" t="s">
        <v>99</v>
      </c>
      <c r="C75" s="121">
        <v>33.5</v>
      </c>
      <c r="D75" s="121">
        <v>38.799999999999997</v>
      </c>
      <c r="E75" s="121">
        <v>37.1</v>
      </c>
      <c r="F75" s="121">
        <v>36.9</v>
      </c>
      <c r="G75" s="121">
        <v>31.8</v>
      </c>
      <c r="H75" s="135">
        <v>28.2</v>
      </c>
    </row>
    <row r="76" spans="2:8" x14ac:dyDescent="0.45">
      <c r="B76" s="134" t="s">
        <v>100</v>
      </c>
      <c r="C76" s="121">
        <v>76.900000000000006</v>
      </c>
      <c r="D76" s="121">
        <v>108.6</v>
      </c>
      <c r="E76" s="121">
        <v>131.5</v>
      </c>
      <c r="F76" s="121">
        <v>22.7</v>
      </c>
      <c r="G76" s="121">
        <v>114.8</v>
      </c>
      <c r="H76" s="135">
        <v>42</v>
      </c>
    </row>
    <row r="77" spans="2:8" x14ac:dyDescent="0.45">
      <c r="B77" s="134" t="s">
        <v>101</v>
      </c>
      <c r="C77" s="121">
        <v>55.7</v>
      </c>
      <c r="D77" s="121">
        <v>63.7</v>
      </c>
      <c r="E77" s="121">
        <v>50</v>
      </c>
      <c r="F77" s="121">
        <v>63.6</v>
      </c>
      <c r="G77" s="121">
        <v>42.8</v>
      </c>
      <c r="H77" s="135">
        <v>50.1</v>
      </c>
    </row>
    <row r="78" spans="2:8" x14ac:dyDescent="0.45">
      <c r="B78" s="134" t="s">
        <v>102</v>
      </c>
      <c r="C78" s="121">
        <v>30.8</v>
      </c>
      <c r="D78" s="121">
        <v>36.299999999999997</v>
      </c>
      <c r="E78" s="121">
        <v>32.799999999999997</v>
      </c>
      <c r="F78" s="121">
        <v>39.200000000000003</v>
      </c>
      <c r="G78" s="121">
        <v>25.3</v>
      </c>
      <c r="H78" s="135">
        <v>21.4</v>
      </c>
    </row>
    <row r="79" spans="2:8" x14ac:dyDescent="0.45">
      <c r="B79" s="134" t="s">
        <v>103</v>
      </c>
      <c r="C79" s="121">
        <v>83.5</v>
      </c>
      <c r="D79" s="121">
        <v>105.4</v>
      </c>
      <c r="E79" s="121">
        <v>24.5</v>
      </c>
      <c r="F79" s="121">
        <v>50.4</v>
      </c>
      <c r="G79" s="121">
        <v>44.1</v>
      </c>
      <c r="H79" s="135">
        <v>55.2</v>
      </c>
    </row>
    <row r="80" spans="2:8" x14ac:dyDescent="0.45">
      <c r="B80" s="134" t="s">
        <v>104</v>
      </c>
      <c r="C80" s="121">
        <v>77.099999999999994</v>
      </c>
      <c r="D80" s="121">
        <v>62.8</v>
      </c>
      <c r="E80" s="121">
        <v>94.8</v>
      </c>
      <c r="F80" s="121">
        <v>67.3</v>
      </c>
      <c r="G80" s="121">
        <v>42.2</v>
      </c>
      <c r="H80" s="135">
        <v>34</v>
      </c>
    </row>
    <row r="81" spans="2:8" x14ac:dyDescent="0.45">
      <c r="B81" s="134" t="s">
        <v>105</v>
      </c>
      <c r="C81" s="121">
        <v>17.600000000000001</v>
      </c>
      <c r="D81" s="121">
        <v>15.1</v>
      </c>
      <c r="E81" s="121">
        <v>15.9</v>
      </c>
      <c r="F81" s="121">
        <v>14.5</v>
      </c>
      <c r="G81" s="121">
        <v>10.9</v>
      </c>
      <c r="H81" s="135">
        <v>10.1</v>
      </c>
    </row>
    <row r="82" spans="2:8" x14ac:dyDescent="0.45">
      <c r="B82" s="134" t="s">
        <v>106</v>
      </c>
      <c r="C82" s="121">
        <v>89.9</v>
      </c>
      <c r="D82" s="121">
        <v>43.6</v>
      </c>
      <c r="E82" s="121">
        <v>54.3</v>
      </c>
      <c r="F82" s="121">
        <v>67.400000000000006</v>
      </c>
      <c r="G82" s="121">
        <v>17.399999999999999</v>
      </c>
      <c r="H82" s="135">
        <v>41.6</v>
      </c>
    </row>
    <row r="83" spans="2:8" x14ac:dyDescent="0.45">
      <c r="B83" s="134" t="s">
        <v>107</v>
      </c>
      <c r="C83" s="121">
        <v>72.7</v>
      </c>
      <c r="D83" s="121">
        <v>126.1</v>
      </c>
      <c r="E83" s="121">
        <v>155.5</v>
      </c>
      <c r="F83" s="121">
        <v>49.8</v>
      </c>
      <c r="G83" s="121">
        <v>37.799999999999997</v>
      </c>
      <c r="H83" s="135">
        <v>61</v>
      </c>
    </row>
    <row r="84" spans="2:8" x14ac:dyDescent="0.45">
      <c r="B84" s="134" t="s">
        <v>108</v>
      </c>
      <c r="C84" s="121">
        <v>35.5</v>
      </c>
      <c r="D84" s="121">
        <v>45.3</v>
      </c>
      <c r="E84" s="121">
        <v>32.200000000000003</v>
      </c>
      <c r="F84" s="121">
        <v>19.600000000000001</v>
      </c>
      <c r="G84" s="121">
        <v>13.9</v>
      </c>
      <c r="H84" s="135">
        <v>17.7</v>
      </c>
    </row>
    <row r="85" spans="2:8" ht="14.65" thickBot="1" x14ac:dyDescent="0.5">
      <c r="B85" s="140" t="s">
        <v>328</v>
      </c>
      <c r="C85" s="141">
        <v>47.2</v>
      </c>
      <c r="D85" s="141">
        <v>46.9</v>
      </c>
      <c r="E85" s="141">
        <v>55.4</v>
      </c>
      <c r="F85" s="141">
        <v>48.7</v>
      </c>
      <c r="G85" s="141">
        <v>29.6</v>
      </c>
      <c r="H85" s="142">
        <v>30.1</v>
      </c>
    </row>
    <row r="86" spans="2:8" ht="14.65" thickBot="1" x14ac:dyDescent="0.5">
      <c r="E86" s="121"/>
    </row>
    <row r="87" spans="2:8" x14ac:dyDescent="0.45">
      <c r="B87" s="122" t="s">
        <v>326</v>
      </c>
      <c r="C87" s="752" t="s">
        <v>311</v>
      </c>
      <c r="D87" s="752"/>
      <c r="E87" s="752"/>
      <c r="F87" s="752"/>
      <c r="G87" s="752"/>
      <c r="H87" s="753"/>
    </row>
    <row r="88" spans="2:8" ht="43.15" thickBot="1" x14ac:dyDescent="0.5">
      <c r="B88" s="148"/>
      <c r="C88" s="149" t="s">
        <v>315</v>
      </c>
      <c r="D88" s="149" t="s">
        <v>316</v>
      </c>
      <c r="E88" s="149" t="s">
        <v>323</v>
      </c>
      <c r="F88" s="149" t="s">
        <v>324</v>
      </c>
      <c r="G88" s="149" t="s">
        <v>320</v>
      </c>
      <c r="H88" s="150" t="s">
        <v>325</v>
      </c>
    </row>
    <row r="89" spans="2:8" x14ac:dyDescent="0.45">
      <c r="B89" s="130" t="s">
        <v>94</v>
      </c>
      <c r="C89" s="131">
        <v>249.2</v>
      </c>
      <c r="D89" s="131">
        <v>291.3</v>
      </c>
      <c r="E89" s="131">
        <v>335.3</v>
      </c>
      <c r="F89" s="131">
        <v>276.10000000000002</v>
      </c>
      <c r="G89" s="131">
        <v>175.5</v>
      </c>
      <c r="H89" s="132">
        <v>105.7</v>
      </c>
    </row>
    <row r="90" spans="2:8" x14ac:dyDescent="0.45">
      <c r="B90" s="134" t="s">
        <v>95</v>
      </c>
      <c r="C90" s="121">
        <v>268.10000000000002</v>
      </c>
      <c r="D90" s="121">
        <v>365.3</v>
      </c>
      <c r="E90" s="121">
        <v>347</v>
      </c>
      <c r="F90" s="121">
        <v>260.89999999999998</v>
      </c>
      <c r="G90" s="121">
        <v>288</v>
      </c>
      <c r="H90" s="135">
        <v>199.2</v>
      </c>
    </row>
    <row r="91" spans="2:8" x14ac:dyDescent="0.45">
      <c r="B91" s="134" t="s">
        <v>96</v>
      </c>
      <c r="C91" s="121">
        <v>436.9</v>
      </c>
      <c r="D91" s="121">
        <v>404.7</v>
      </c>
      <c r="E91" s="121">
        <v>357.5</v>
      </c>
      <c r="F91" s="121">
        <v>377</v>
      </c>
      <c r="G91" s="121">
        <v>258</v>
      </c>
      <c r="H91" s="135">
        <v>291</v>
      </c>
    </row>
    <row r="92" spans="2:8" x14ac:dyDescent="0.45">
      <c r="B92" s="134" t="s">
        <v>97</v>
      </c>
      <c r="C92" s="121">
        <v>15.1</v>
      </c>
      <c r="D92" s="121">
        <v>15.6</v>
      </c>
      <c r="E92" s="121">
        <v>23.4</v>
      </c>
      <c r="F92" s="121">
        <v>38.1</v>
      </c>
      <c r="G92" s="121">
        <v>27</v>
      </c>
      <c r="H92" s="135">
        <v>33.200000000000003</v>
      </c>
    </row>
    <row r="93" spans="2:8" x14ac:dyDescent="0.45">
      <c r="B93" s="134" t="s">
        <v>98</v>
      </c>
      <c r="C93" s="121">
        <v>46</v>
      </c>
      <c r="D93" s="121">
        <v>56.6</v>
      </c>
      <c r="E93" s="121">
        <v>58.7</v>
      </c>
      <c r="F93" s="121">
        <v>57.5</v>
      </c>
      <c r="G93" s="121">
        <v>41.9</v>
      </c>
      <c r="H93" s="135">
        <v>28.5</v>
      </c>
    </row>
    <row r="94" spans="2:8" x14ac:dyDescent="0.45">
      <c r="B94" s="134" t="s">
        <v>99</v>
      </c>
      <c r="C94" s="121">
        <v>32.6</v>
      </c>
      <c r="D94" s="121">
        <v>38.200000000000003</v>
      </c>
      <c r="E94" s="121">
        <v>41.6</v>
      </c>
      <c r="F94" s="121">
        <v>42</v>
      </c>
      <c r="G94" s="121">
        <v>33</v>
      </c>
      <c r="H94" s="135">
        <v>26.7</v>
      </c>
    </row>
    <row r="95" spans="2:8" x14ac:dyDescent="0.45">
      <c r="B95" s="134" t="s">
        <v>100</v>
      </c>
      <c r="C95" s="121">
        <v>87.9</v>
      </c>
      <c r="D95" s="121">
        <v>74.599999999999994</v>
      </c>
      <c r="E95" s="121">
        <v>122.6</v>
      </c>
      <c r="F95" s="121">
        <v>159.5</v>
      </c>
      <c r="G95" s="121">
        <v>76.7</v>
      </c>
      <c r="H95" s="135">
        <v>46.8</v>
      </c>
    </row>
    <row r="96" spans="2:8" x14ac:dyDescent="0.45">
      <c r="B96" s="134" t="s">
        <v>101</v>
      </c>
      <c r="C96" s="121">
        <v>57.4</v>
      </c>
      <c r="D96" s="121">
        <v>49.7</v>
      </c>
      <c r="E96" s="121">
        <v>76.2</v>
      </c>
      <c r="F96" s="121">
        <v>46.9</v>
      </c>
      <c r="G96" s="121">
        <v>46.2</v>
      </c>
      <c r="H96" s="135">
        <v>48.4</v>
      </c>
    </row>
    <row r="97" spans="2:8" x14ac:dyDescent="0.45">
      <c r="B97" s="134" t="s">
        <v>102</v>
      </c>
      <c r="C97" s="121">
        <v>30.1</v>
      </c>
      <c r="D97" s="121">
        <v>27.3</v>
      </c>
      <c r="E97" s="121">
        <v>39.799999999999997</v>
      </c>
      <c r="F97" s="121">
        <v>30.3</v>
      </c>
      <c r="G97" s="121">
        <v>23.5</v>
      </c>
      <c r="H97" s="135">
        <v>26.5</v>
      </c>
    </row>
    <row r="98" spans="2:8" x14ac:dyDescent="0.45">
      <c r="B98" s="134" t="s">
        <v>103</v>
      </c>
      <c r="C98" s="121">
        <v>53.8</v>
      </c>
      <c r="D98" s="121">
        <v>28.4</v>
      </c>
      <c r="E98" s="121">
        <v>55.7</v>
      </c>
      <c r="F98" s="121">
        <v>34.9</v>
      </c>
      <c r="G98" s="121">
        <v>64.2</v>
      </c>
      <c r="H98" s="135">
        <v>37.6</v>
      </c>
    </row>
    <row r="99" spans="2:8" x14ac:dyDescent="0.45">
      <c r="B99" s="134" t="s">
        <v>104</v>
      </c>
      <c r="C99" s="121">
        <v>65.900000000000006</v>
      </c>
      <c r="D99" s="121">
        <v>63.4</v>
      </c>
      <c r="E99" s="121">
        <v>91.8</v>
      </c>
      <c r="F99" s="121">
        <v>44.4</v>
      </c>
      <c r="G99" s="121">
        <v>51.3</v>
      </c>
      <c r="H99" s="135">
        <v>43.2</v>
      </c>
    </row>
    <row r="100" spans="2:8" x14ac:dyDescent="0.45">
      <c r="B100" s="134" t="s">
        <v>105</v>
      </c>
      <c r="C100" s="121">
        <v>17.399999999999999</v>
      </c>
      <c r="D100" s="121">
        <v>14.6</v>
      </c>
      <c r="E100" s="121">
        <v>25.4</v>
      </c>
      <c r="F100" s="121">
        <v>12.8</v>
      </c>
      <c r="G100" s="121">
        <v>11.8</v>
      </c>
      <c r="H100" s="135">
        <v>10.3</v>
      </c>
    </row>
    <row r="101" spans="2:8" x14ac:dyDescent="0.45">
      <c r="B101" s="134" t="s">
        <v>106</v>
      </c>
      <c r="C101" s="121">
        <v>78.3</v>
      </c>
      <c r="D101" s="121">
        <v>47.9</v>
      </c>
      <c r="E101" s="121">
        <v>39.5</v>
      </c>
      <c r="F101" s="121">
        <v>44.6</v>
      </c>
      <c r="G101" s="121">
        <v>28.1</v>
      </c>
      <c r="H101" s="135">
        <v>39</v>
      </c>
    </row>
    <row r="102" spans="2:8" x14ac:dyDescent="0.45">
      <c r="B102" s="134" t="s">
        <v>107</v>
      </c>
      <c r="C102" s="121">
        <v>94.6</v>
      </c>
      <c r="D102" s="121">
        <v>66.599999999999994</v>
      </c>
      <c r="E102" s="121">
        <v>94.5</v>
      </c>
      <c r="F102" s="121">
        <v>28.3</v>
      </c>
      <c r="G102" s="121">
        <v>64.599999999999994</v>
      </c>
      <c r="H102" s="135">
        <v>99.6</v>
      </c>
    </row>
    <row r="103" spans="2:8" x14ac:dyDescent="0.45">
      <c r="B103" s="134" t="s">
        <v>108</v>
      </c>
      <c r="C103" s="121">
        <v>37.4</v>
      </c>
      <c r="D103" s="121">
        <v>24.1</v>
      </c>
      <c r="E103" s="121">
        <v>22</v>
      </c>
      <c r="F103" s="121">
        <v>49.2</v>
      </c>
      <c r="G103" s="121">
        <v>8.3000000000000007</v>
      </c>
      <c r="H103" s="135">
        <v>16.600000000000001</v>
      </c>
    </row>
    <row r="104" spans="2:8" ht="14.65" thickBot="1" x14ac:dyDescent="0.5">
      <c r="B104" s="140" t="s">
        <v>328</v>
      </c>
      <c r="C104" s="141">
        <v>39.5</v>
      </c>
      <c r="D104" s="141">
        <v>68.599999999999994</v>
      </c>
      <c r="E104" s="141">
        <v>39.4</v>
      </c>
      <c r="F104" s="141">
        <v>46.8</v>
      </c>
      <c r="G104" s="141">
        <v>30.9</v>
      </c>
      <c r="H104" s="142">
        <v>26.3</v>
      </c>
    </row>
    <row r="105" spans="2:8" ht="14.65" thickBot="1" x14ac:dyDescent="0.5"/>
    <row r="106" spans="2:8" x14ac:dyDescent="0.45">
      <c r="B106" s="122" t="s">
        <v>327</v>
      </c>
      <c r="C106" s="752" t="s">
        <v>311</v>
      </c>
      <c r="D106" s="752"/>
      <c r="E106" s="752"/>
      <c r="F106" s="752"/>
      <c r="G106" s="752"/>
      <c r="H106" s="753"/>
    </row>
    <row r="107" spans="2:8" ht="43.15" thickBot="1" x14ac:dyDescent="0.5">
      <c r="B107" s="148"/>
      <c r="C107" s="149" t="s">
        <v>315</v>
      </c>
      <c r="D107" s="149" t="s">
        <v>316</v>
      </c>
      <c r="E107" s="149" t="s">
        <v>323</v>
      </c>
      <c r="F107" s="149" t="s">
        <v>324</v>
      </c>
      <c r="G107" s="149" t="s">
        <v>320</v>
      </c>
      <c r="H107" s="150" t="s">
        <v>325</v>
      </c>
    </row>
    <row r="108" spans="2:8" x14ac:dyDescent="0.45">
      <c r="B108" s="130" t="s">
        <v>94</v>
      </c>
      <c r="C108" s="131">
        <v>233.9</v>
      </c>
      <c r="D108" s="131">
        <v>257.3</v>
      </c>
      <c r="E108" s="131">
        <v>257.5</v>
      </c>
      <c r="F108" s="131">
        <v>358.4</v>
      </c>
      <c r="G108" s="131">
        <v>155.9</v>
      </c>
      <c r="H108" s="132">
        <v>107.3</v>
      </c>
    </row>
    <row r="109" spans="2:8" x14ac:dyDescent="0.45">
      <c r="B109" s="134" t="s">
        <v>95</v>
      </c>
      <c r="C109" s="121">
        <v>233.8</v>
      </c>
      <c r="D109" s="121">
        <v>136.80000000000001</v>
      </c>
      <c r="E109" s="121">
        <v>199.9</v>
      </c>
      <c r="F109" s="121">
        <v>294.3</v>
      </c>
      <c r="G109" s="121">
        <v>278.7</v>
      </c>
      <c r="H109" s="135">
        <v>193</v>
      </c>
    </row>
    <row r="110" spans="2:8" x14ac:dyDescent="0.45">
      <c r="B110" s="134" t="s">
        <v>96</v>
      </c>
      <c r="C110" s="121">
        <v>452.7</v>
      </c>
      <c r="D110" s="121">
        <v>433.6</v>
      </c>
      <c r="E110" s="121">
        <v>426.7</v>
      </c>
      <c r="F110" s="121">
        <v>820.6</v>
      </c>
      <c r="G110" s="121">
        <v>327.2</v>
      </c>
      <c r="H110" s="135">
        <v>311.8</v>
      </c>
    </row>
    <row r="111" spans="2:8" x14ac:dyDescent="0.45">
      <c r="B111" s="134" t="s">
        <v>97</v>
      </c>
      <c r="C111" s="121">
        <v>34.4</v>
      </c>
      <c r="D111" s="121">
        <v>37.299999999999997</v>
      </c>
      <c r="E111" s="121">
        <v>11.6</v>
      </c>
      <c r="F111" s="121">
        <v>20.3</v>
      </c>
      <c r="G111" s="121">
        <v>28</v>
      </c>
      <c r="H111" s="135">
        <v>54.1</v>
      </c>
    </row>
    <row r="112" spans="2:8" x14ac:dyDescent="0.45">
      <c r="B112" s="134" t="s">
        <v>98</v>
      </c>
      <c r="C112" s="121">
        <v>50</v>
      </c>
      <c r="D112" s="121">
        <v>49.3</v>
      </c>
      <c r="E112" s="121">
        <v>62.5</v>
      </c>
      <c r="F112" s="121">
        <v>56.9</v>
      </c>
      <c r="G112" s="121">
        <v>44.4</v>
      </c>
      <c r="H112" s="135">
        <v>35.6</v>
      </c>
    </row>
    <row r="113" spans="2:8" x14ac:dyDescent="0.45">
      <c r="B113" s="134" t="s">
        <v>99</v>
      </c>
      <c r="C113" s="121">
        <v>34.799999999999997</v>
      </c>
      <c r="D113" s="121">
        <v>30.4</v>
      </c>
      <c r="E113" s="121">
        <v>44.7</v>
      </c>
      <c r="F113" s="121">
        <v>36.6</v>
      </c>
      <c r="G113" s="121">
        <v>27</v>
      </c>
      <c r="H113" s="135">
        <v>28.4</v>
      </c>
    </row>
    <row r="114" spans="2:8" x14ac:dyDescent="0.45">
      <c r="B114" s="134" t="s">
        <v>100</v>
      </c>
      <c r="C114" s="121">
        <v>87.8</v>
      </c>
      <c r="D114" s="121">
        <v>84.8</v>
      </c>
      <c r="E114" s="121">
        <v>110.1</v>
      </c>
      <c r="F114" s="121">
        <v>115</v>
      </c>
      <c r="G114" s="121">
        <v>83.1</v>
      </c>
      <c r="H114" s="135">
        <v>87.5</v>
      </c>
    </row>
    <row r="115" spans="2:8" x14ac:dyDescent="0.45">
      <c r="B115" s="134" t="s">
        <v>101</v>
      </c>
      <c r="C115" s="121">
        <v>52.3</v>
      </c>
      <c r="D115" s="121">
        <v>53.4</v>
      </c>
      <c r="E115" s="121">
        <v>51.6</v>
      </c>
      <c r="F115" s="121">
        <v>38.299999999999997</v>
      </c>
      <c r="G115" s="121">
        <v>32.1</v>
      </c>
      <c r="H115" s="135">
        <v>45.3</v>
      </c>
    </row>
    <row r="116" spans="2:8" x14ac:dyDescent="0.45">
      <c r="B116" s="134" t="s">
        <v>102</v>
      </c>
      <c r="C116" s="121">
        <v>31.3</v>
      </c>
      <c r="D116" s="121">
        <v>26.6</v>
      </c>
      <c r="E116" s="121">
        <v>30.5</v>
      </c>
      <c r="F116" s="121">
        <v>30.7</v>
      </c>
      <c r="G116" s="121">
        <v>21.1</v>
      </c>
      <c r="H116" s="135">
        <v>24.7</v>
      </c>
    </row>
    <row r="117" spans="2:8" x14ac:dyDescent="0.45">
      <c r="B117" s="134" t="s">
        <v>103</v>
      </c>
      <c r="C117" s="121">
        <v>73.599999999999994</v>
      </c>
      <c r="D117" s="121">
        <v>20.9</v>
      </c>
      <c r="E117" s="121">
        <v>99.4</v>
      </c>
      <c r="F117" s="121">
        <v>56.1</v>
      </c>
      <c r="G117" s="121">
        <v>64.2</v>
      </c>
      <c r="H117" s="135">
        <v>85.5</v>
      </c>
    </row>
    <row r="118" spans="2:8" x14ac:dyDescent="0.45">
      <c r="B118" s="134" t="s">
        <v>104</v>
      </c>
      <c r="C118" s="121">
        <v>84.1</v>
      </c>
      <c r="D118" s="121">
        <v>99.4</v>
      </c>
      <c r="E118" s="121">
        <v>117.3</v>
      </c>
      <c r="F118" s="121">
        <v>107.7</v>
      </c>
      <c r="G118" s="121">
        <v>60.5</v>
      </c>
      <c r="H118" s="135">
        <v>51.4</v>
      </c>
    </row>
    <row r="119" spans="2:8" x14ac:dyDescent="0.45">
      <c r="B119" s="134" t="s">
        <v>105</v>
      </c>
      <c r="C119" s="121">
        <v>16.899999999999999</v>
      </c>
      <c r="D119" s="121">
        <v>18.3</v>
      </c>
      <c r="E119" s="121">
        <v>18.2</v>
      </c>
      <c r="F119" s="121">
        <v>14.9</v>
      </c>
      <c r="G119" s="121">
        <v>9.1999999999999993</v>
      </c>
      <c r="H119" s="135">
        <v>9.4</v>
      </c>
    </row>
    <row r="120" spans="2:8" x14ac:dyDescent="0.45">
      <c r="B120" s="134" t="s">
        <v>106</v>
      </c>
      <c r="C120" s="121">
        <v>75.7</v>
      </c>
      <c r="D120" s="121">
        <v>42.7</v>
      </c>
      <c r="E120" s="121">
        <v>45.9</v>
      </c>
      <c r="F120" s="121">
        <v>37.700000000000003</v>
      </c>
      <c r="G120" s="121">
        <v>19.399999999999999</v>
      </c>
      <c r="H120" s="135">
        <v>54.9</v>
      </c>
    </row>
    <row r="121" spans="2:8" x14ac:dyDescent="0.45">
      <c r="B121" s="134" t="s">
        <v>107</v>
      </c>
      <c r="C121" s="121">
        <v>86.1</v>
      </c>
      <c r="D121" s="121">
        <v>40.4</v>
      </c>
      <c r="E121" s="121">
        <v>98.4</v>
      </c>
      <c r="F121" s="121">
        <v>81.599999999999994</v>
      </c>
      <c r="G121" s="121">
        <v>92.4</v>
      </c>
      <c r="H121" s="135">
        <v>33</v>
      </c>
    </row>
    <row r="122" spans="2:8" x14ac:dyDescent="0.45">
      <c r="B122" s="134" t="s">
        <v>108</v>
      </c>
      <c r="C122" s="121">
        <v>38.6</v>
      </c>
      <c r="D122" s="121">
        <v>22.6</v>
      </c>
      <c r="E122" s="121">
        <v>24.8</v>
      </c>
      <c r="F122" s="121">
        <v>28.8</v>
      </c>
      <c r="G122" s="121">
        <v>13.8</v>
      </c>
      <c r="H122" s="135">
        <v>32.4</v>
      </c>
    </row>
    <row r="123" spans="2:8" ht="14.65" thickBot="1" x14ac:dyDescent="0.5">
      <c r="B123" s="140" t="s">
        <v>328</v>
      </c>
      <c r="C123" s="141">
        <v>46.5</v>
      </c>
      <c r="D123" s="141">
        <v>62.2</v>
      </c>
      <c r="E123" s="141">
        <v>54.6</v>
      </c>
      <c r="F123" s="141">
        <v>56.5</v>
      </c>
      <c r="G123" s="141">
        <v>40.1</v>
      </c>
      <c r="H123" s="142">
        <v>28.3</v>
      </c>
    </row>
  </sheetData>
  <sheetProtection algorithmName="SHA-512" hashValue="NpWMGriVBOWkbDI7rNccq3MvzhTSoyxOKMX+T7ka5nbI3aRJURy6Zn3q4g1fNp+dHzYsb5tgtHOH00lJbx4l9Q==" saltValue="lBVOystazZ0KnoVpyqSVJg==" spinCount="100000" sheet="1" objects="1" scenarios="1"/>
  <mergeCells count="6">
    <mergeCell ref="C106:H106"/>
    <mergeCell ref="C11:H11"/>
    <mergeCell ref="C30:H30"/>
    <mergeCell ref="C49:H49"/>
    <mergeCell ref="C68:H68"/>
    <mergeCell ref="C87:H87"/>
  </mergeCells>
  <pageMargins left="0.7" right="0.7" top="0.75" bottom="0.75" header="0.3" footer="0.3"/>
  <pageSetup paperSize="9" orientation="portrait" r:id="rId1"/>
  <headerFooter>
    <oddFooter>&amp;C_x000D_&amp;1#&amp;"Calibri"&amp;10&amp;K000000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9da600a7-27fd-43ea-8cef-f13e8bd432ff" xsi:nil="true"/>
    <BusinessValue xmlns="4f9c820c-e7e2-444d-97ee-45f2b3485c1d">Normal</BusinessValue>
    <PRADateDisposal xmlns="4f9c820c-e7e2-444d-97ee-45f2b3485c1d" xsi:nil="true"/>
    <Subactivity xmlns="4f9c820c-e7e2-444d-97ee-45f2b3485c1d">NA</Subactivity>
    <PRADate3 xmlns="4f9c820c-e7e2-444d-97ee-45f2b3485c1d" xsi:nil="true"/>
    <PRAText5 xmlns="4f9c820c-e7e2-444d-97ee-45f2b3485c1d" xsi:nil="true"/>
    <Activity xmlns="4f9c820c-e7e2-444d-97ee-45f2b3485c1d">Progressive Home Ownership </Activity>
    <Financial_x0020_year xmlns="cc3c8d93-9f70-45a7-929c-bc05fca4adc9" xsi:nil="true"/>
    <PRADate2 xmlns="4f9c820c-e7e2-444d-97ee-45f2b3485c1d" xsi:nil="true"/>
    <Case xmlns="4f9c820c-e7e2-444d-97ee-45f2b3485c1d">Te Kāhui Kāinga Ora</Case>
    <PRAText1 xmlns="4f9c820c-e7e2-444d-97ee-45f2b3485c1d" xsi:nil="true"/>
    <PRAText4 xmlns="4f9c820c-e7e2-444d-97ee-45f2b3485c1d" xsi:nil="true"/>
    <Year xmlns="9da600a7-27fd-43ea-8cef-f13e8bd432ff" xsi:nil="true"/>
    <Project xmlns="97c71325-65b9-4833-a997-d05ab51373a7" xsi:nil="true"/>
    <Function xmlns="4f9c820c-e7e2-444d-97ee-45f2b3485c1d">Te Kāhui Kāinga Ora</Function>
    <PRAType xmlns="4f9c820c-e7e2-444d-97ee-45f2b3485c1d">Doc</PRAType>
    <PRADate1 xmlns="4f9c820c-e7e2-444d-97ee-45f2b3485c1d" xsi:nil="true"/>
    <PRAText3 xmlns="4f9c820c-e7e2-444d-97ee-45f2b3485c1d" xsi:nil="true"/>
    <New_x0020_Folder xmlns="97c71325-65b9-4833-a997-d05ab51373a7" xsi:nil="true"/>
    <CategoryName xmlns="4f9c820c-e7e2-444d-97ee-45f2b3485c1d" xsi:nil="true"/>
    <PRADateTrigger xmlns="4f9c820c-e7e2-444d-97ee-45f2b3485c1d" xsi:nil="true"/>
    <Narrative xmlns="4f9c820c-e7e2-444d-97ee-45f2b3485c1d" xsi:nil="true"/>
    <CategoryValue xmlns="97c71325-65b9-4833-a997-d05ab51373a7" xsi:nil="true"/>
    <PRAText2 xmlns="4f9c820c-e7e2-444d-97ee-45f2b3485c1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eDocument" ma:contentTypeID="0x010100CB728DF4B70B9149A7A586315079ED5F0005643020E4C92840B73D9A168B62E763" ma:contentTypeVersion="78" ma:contentTypeDescription="Create a new document." ma:contentTypeScope="" ma:versionID="5eafe8ee58c23b9593fa684fa91133da">
  <xsd:schema xmlns:xsd="http://www.w3.org/2001/XMLSchema" xmlns:xs="http://www.w3.org/2001/XMLSchema" xmlns:p="http://schemas.microsoft.com/office/2006/metadata/properties" xmlns:ns2="9da600a7-27fd-43ea-8cef-f13e8bd432ff" xmlns:ns3="4f9c820c-e7e2-444d-97ee-45f2b3485c1d" xmlns:ns4="97c71325-65b9-4833-a997-d05ab51373a7" xmlns:ns6="cc3c8d93-9f70-45a7-929c-bc05fca4adc9" xmlns:ns7="aaee634e-4ff8-41a4-8aa8-7a2a5521467d" xmlns:ns8="fbee7db1-39a9-4d63-99d6-c12ee98d8bc8" targetNamespace="http://schemas.microsoft.com/office/2006/metadata/properties" ma:root="true" ma:fieldsID="acd67f18b960aa25b073cc88b77aa69a" ns2:_="" ns3:_="" ns4:_="" ns6:_="" ns7:_="" ns8:_="">
    <xsd:import namespace="9da600a7-27fd-43ea-8cef-f13e8bd432ff"/>
    <xsd:import namespace="4f9c820c-e7e2-444d-97ee-45f2b3485c1d"/>
    <xsd:import namespace="97c71325-65b9-4833-a997-d05ab51373a7"/>
    <xsd:import namespace="cc3c8d93-9f70-45a7-929c-bc05fca4adc9"/>
    <xsd:import namespace="aaee634e-4ff8-41a4-8aa8-7a2a5521467d"/>
    <xsd:import namespace="fbee7db1-39a9-4d63-99d6-c12ee98d8bc8"/>
    <xsd:element name="properties">
      <xsd:complexType>
        <xsd:sequence>
          <xsd:element name="documentManagement">
            <xsd:complexType>
              <xsd:all>
                <xsd:element ref="ns2:DocumentType" minOccurs="0"/>
                <xsd:element ref="ns3:BusinessValue" minOccurs="0"/>
                <xsd:element ref="ns3:CategoryName" minOccurs="0"/>
                <xsd:element ref="ns4:CategoryValue" minOccurs="0"/>
                <xsd:element ref="ns4:Project" minOccurs="0"/>
                <xsd:element ref="ns3:Case" minOccurs="0"/>
                <xsd:element ref="ns3:PRADate2" minOccurs="0"/>
                <xsd:element ref="ns3:PRADate3" minOccurs="0"/>
                <xsd:element ref="ns3:PRADateDisposal" minOccurs="0"/>
                <xsd:element ref="ns3:PRADateTrigger" minOccurs="0"/>
                <xsd:element ref="ns3:PRAText1" minOccurs="0"/>
                <xsd:element ref="ns3:PRAText2" minOccurs="0"/>
                <xsd:element ref="ns3:PRAText3" minOccurs="0"/>
                <xsd:element ref="ns3:PRAText4" minOccurs="0"/>
                <xsd:element ref="ns3:PRAText5" minOccurs="0"/>
                <xsd:element ref="ns3:PRAType" minOccurs="0"/>
                <xsd:element ref="ns3:PRADate1" minOccurs="0"/>
                <xsd:element ref="ns3:Narrative" minOccurs="0"/>
                <xsd:element ref="ns3:Function" minOccurs="0"/>
                <xsd:element ref="ns2:Year" minOccurs="0"/>
                <xsd:element ref="ns3:Activity" minOccurs="0"/>
                <xsd:element ref="ns3:Subactivity" minOccurs="0"/>
                <xsd:element ref="ns6:Financial_x0020_year" minOccurs="0"/>
                <xsd:element ref="ns4:New_x0020_Folder" minOccurs="0"/>
                <xsd:element ref="ns7:MediaServiceMetadata" minOccurs="0"/>
                <xsd:element ref="ns7:MediaServiceFastMetadata" minOccurs="0"/>
                <xsd:element ref="ns8:SharedWithUsers" minOccurs="0"/>
                <xsd:element ref="ns8:SharedWithDetails" minOccurs="0"/>
                <xsd:element ref="ns7:MediaServiceAutoKeyPoints" minOccurs="0"/>
                <xsd:element ref="ns7:MediaServiceKeyPoints" minOccurs="0"/>
                <xsd:element ref="ns7:MediaServiceDateTaken" minOccurs="0"/>
                <xsd:element ref="ns7:MediaServiceAutoTags" minOccurs="0"/>
                <xsd:element ref="ns7:MediaServiceGenerationTime" minOccurs="0"/>
                <xsd:element ref="ns7:MediaServiceEventHashCode" minOccurs="0"/>
                <xsd:element ref="ns7: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a600a7-27fd-43ea-8cef-f13e8bd432ff"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ma:readOnly="false">
      <xsd:simpleType>
        <xsd:restriction base="dms:Choice">
          <xsd:enumeration value="APPLICATION, Certificate, Consent related"/>
          <xsd:enumeration value="CABINET PAPER, Amendment"/>
          <xsd:enumeration value="CONTRACT, Variation, Agreement"/>
          <xsd:enumeration value="CORRESPONDENCE"/>
          <xsd:enumeration value="DATA, Calculation, Working"/>
          <xsd:enumeration value="DRAWING, Plan, Map, Title"/>
          <xsd:enumeration value="EMPLOYMENT related"/>
          <xsd:enumeration value="FINANCIAL related"/>
          <xsd:enumeration value="KNOWLEDGE article"/>
          <xsd:enumeration value="MANUAL, Instruction, FAQ"/>
          <xsd:enumeration value="MINISTERIAL Request, Question"/>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Law, Procedure"/>
          <xsd:enumeration value="SERVICE REQUEST related"/>
          <xsd:enumeration value="SUBMISSION, application, supporting material"/>
          <xsd:enumeration value="SPECIFICATION or standard"/>
          <xsd:enumeration value="SUPPLIER PRODUCT Info"/>
          <xsd:enumeration value="TEMPLATE, Checklist or Form"/>
          <xsd:enumeration value="THIRD PARTY reference material"/>
        </xsd:restriction>
      </xsd:simpleType>
    </xsd:element>
    <xsd:element name="Year" ma:index="28" nillable="true" ma:displayName="Year" ma:format="RadioButtons" ma:hidden="true" ma:internalName="Year" ma:readOnly="false">
      <xsd:simpleType>
        <xsd:restriction base="dms:Choice">
          <xsd:enumeration value="2017"/>
          <xsd:enumeration value="2018"/>
          <xsd:enumeration value="2019"/>
          <xsd:enumeration value="2020"/>
          <xsd:enumeration value="2021"/>
        </xsd:restrictio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BusinessValue" ma:index="9" nillable="true" ma:displayName="Business Value" ma:default="Normal" ma:format="Dropdown" ma:hidden="true" ma:internalName="BusinessValue"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CategoryName" ma:index="10" nillable="true" ma:displayName="CategoryName" ma:format="Dropdown" ma:hidden="true" ma:internalName="CategoryName" ma:readOnly="false">
      <xsd:simpleType>
        <xsd:restriction base="dms:Choice">
          <xsd:enumeration value="Enter Choice #1"/>
          <xsd:enumeration value="Enter Choice #2"/>
          <xsd:enumeration value="Enter Choice #3"/>
        </xsd:restriction>
      </xsd:simpleType>
    </xsd:element>
    <xsd:element name="Case" ma:index="13" nillable="true" ma:displayName="Case" ma:default="Te Kāhui - Māori Housing" ma:hidden="true" ma:internalName="Case" ma:readOnly="false">
      <xsd:simpleType>
        <xsd:restriction base="dms:Text">
          <xsd:maxLength value="255"/>
        </xsd:restriction>
      </xsd:simpleType>
    </xsd:element>
    <xsd:element name="PRADate2" ma:index="14" nillable="true" ma:displayName="PRADate2" ma:format="DateOnly" ma:hidden="true" ma:internalName="PRADate2" ma:readOnly="false">
      <xsd:simpleType>
        <xsd:restriction base="dms:DateTime"/>
      </xsd:simpleType>
    </xsd:element>
    <xsd:element name="PRADate3" ma:index="15" nillable="true" ma:displayName="PRADate3" ma:format="DateOnly" ma:hidden="true" ma:internalName="PRADate3" ma:readOnly="false">
      <xsd:simpleType>
        <xsd:restriction base="dms:DateTime"/>
      </xsd:simpleType>
    </xsd:element>
    <xsd:element name="PRADateDisposal" ma:index="16" nillable="true" ma:displayName="PRADateDisposal" ma:format="DateOnly" ma:hidden="true" ma:internalName="PRADateDisposal" ma:readOnly="false">
      <xsd:simpleType>
        <xsd:restriction base="dms:DateTime"/>
      </xsd:simpleType>
    </xsd:element>
    <xsd:element name="PRADateTrigger" ma:index="17" nillable="true" ma:displayName="PRADateTrigger" ma:format="DateOnly" ma:hidden="true" ma:internalName="PRADateTrigger" ma:readOnly="false">
      <xsd:simpleType>
        <xsd:restriction base="dms:DateTime"/>
      </xsd:simpleType>
    </xsd:element>
    <xsd:element name="PRAText1" ma:index="18" nillable="true" ma:displayName="PRAText1" ma:hidden="true" ma:internalName="PRAText1" ma:readOnly="false">
      <xsd:simpleType>
        <xsd:restriction base="dms:Text">
          <xsd:maxLength value="255"/>
        </xsd:restriction>
      </xsd:simpleType>
    </xsd:element>
    <xsd:element name="PRAText2" ma:index="19" nillable="true" ma:displayName="PRAText2" ma:hidden="true" ma:internalName="PRAText2" ma:readOnly="false">
      <xsd:simpleType>
        <xsd:restriction base="dms:Text">
          <xsd:maxLength value="255"/>
        </xsd:restriction>
      </xsd:simpleType>
    </xsd:element>
    <xsd:element name="PRAText3" ma:index="20" nillable="true" ma:displayName="PRAText3" ma:hidden="true" ma:internalName="PRAText3" ma:readOnly="false">
      <xsd:simpleType>
        <xsd:restriction base="dms:Text">
          <xsd:maxLength value="255"/>
        </xsd:restriction>
      </xsd:simpleType>
    </xsd:element>
    <xsd:element name="PRAText4" ma:index="21" nillable="true" ma:displayName="PRAText4" ma:hidden="true" ma:internalName="PRAText4" ma:readOnly="false">
      <xsd:simpleType>
        <xsd:restriction base="dms:Text">
          <xsd:maxLength value="255"/>
        </xsd:restriction>
      </xsd:simpleType>
    </xsd:element>
    <xsd:element name="PRAText5" ma:index="22" nillable="true" ma:displayName="PRAText5" ma:hidden="true" ma:internalName="PRAText5" ma:readOnly="false">
      <xsd:simpleType>
        <xsd:restriction base="dms:Text">
          <xsd:maxLength value="255"/>
        </xsd:restriction>
      </xsd:simpleType>
    </xsd:element>
    <xsd:element name="PRAType" ma:index="24" nillable="true" ma:displayName="PRAType" ma:default="Doc" ma:hidden="true" ma:internalName="PRAType" ma:readOnly="false">
      <xsd:simpleType>
        <xsd:restriction base="dms:Text">
          <xsd:maxLength value="255"/>
        </xsd:restriction>
      </xsd:simpleType>
    </xsd:element>
    <xsd:element name="PRADate1" ma:index="25" nillable="true" ma:displayName="PRADate1" ma:format="DateOnly" ma:hidden="true" ma:internalName="PRADate1" ma:readOnly="false">
      <xsd:simpleType>
        <xsd:restriction base="dms:DateTime"/>
      </xsd:simpleType>
    </xsd:element>
    <xsd:element name="Narrative" ma:index="26" nillable="true" ma:displayName="Narrative" ma:hidden="true" ma:internalName="Narrative" ma:readOnly="false">
      <xsd:simpleType>
        <xsd:restriction base="dms:Note"/>
      </xsd:simpleType>
    </xsd:element>
    <xsd:element name="Function" ma:index="27" nillable="true" ma:displayName="Function" ma:default="Te Kāhui Kāinga Ora" ma:hidden="true" ma:internalName="Function" ma:readOnly="false">
      <xsd:simpleType>
        <xsd:restriction base="dms:Text">
          <xsd:maxLength value="255"/>
        </xsd:restriction>
      </xsd:simpleType>
    </xsd:element>
    <xsd:element name="Activity" ma:index="29" nillable="true" ma:displayName="Activity" ma:default="Progressive Home Ownership " ma:hidden="true" ma:internalName="Activity" ma:readOnly="false">
      <xsd:simpleType>
        <xsd:restriction base="dms:Text">
          <xsd:maxLength value="255"/>
        </xsd:restriction>
      </xsd:simpleType>
    </xsd:element>
    <xsd:element name="Subactivity" ma:index="30" nillable="true" ma:displayName="Subactivity" ma:default="NA" ma:hidden="true" ma:internalName="Sub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c71325-65b9-4833-a997-d05ab51373a7" elementFormDefault="qualified">
    <xsd:import namespace="http://schemas.microsoft.com/office/2006/documentManagement/types"/>
    <xsd:import namespace="http://schemas.microsoft.com/office/infopath/2007/PartnerControls"/>
    <xsd:element name="CategoryValue" ma:index="11" nillable="true" ma:displayName="CategoryValue" ma:format="Dropdown" ma:hidden="true" ma:internalName="CategoryValue" ma:readOnly="false">
      <xsd:simpleType>
        <xsd:restriction base="dms:Choice">
          <xsd:enumeration value="Enter Choice #1"/>
          <xsd:enumeration value="Enter Choice #2"/>
          <xsd:enumeration value="Enter Choice #3"/>
        </xsd:restriction>
      </xsd:simpleType>
    </xsd:element>
    <xsd:element name="Project" ma:index="12" nillable="true" ma:displayName="Project" ma:hidden="true" ma:internalName="Project" ma:readOnly="false">
      <xsd:simpleType>
        <xsd:restriction base="dms:Text">
          <xsd:maxLength value="255"/>
        </xsd:restriction>
      </xsd:simpleType>
    </xsd:element>
    <xsd:element name="New_x0020_Folder" ma:index="32" nillable="true" ma:displayName="Topic" ma:internalName="New_x0020_Folde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3c8d93-9f70-45a7-929c-bc05fca4adc9" elementFormDefault="qualified">
    <xsd:import namespace="http://schemas.microsoft.com/office/2006/documentManagement/types"/>
    <xsd:import namespace="http://schemas.microsoft.com/office/infopath/2007/PartnerControls"/>
    <xsd:element name="Financial_x0020_year" ma:index="31" nillable="true" ma:displayName="Financial year" ma:description="document mgmt. metadata - fiscal year reference" ma:format="Dropdown" ma:internalName="Financial_x0020_year" ma:readOnly="false">
      <xsd:simpleType>
        <xsd:restriction base="dms:Choice">
          <xsd:enumeration value="16/17"/>
          <xsd:enumeration value="17/18"/>
          <xsd:enumeration value="18/19"/>
          <xsd:enumeration value="19/20"/>
          <xsd:enumeration value="20/21"/>
          <xsd:enumeration value="21/22"/>
          <xsd:enumeration value="22/23"/>
          <xsd:enumeration value="23/24"/>
        </xsd:restriction>
      </xsd:simpleType>
    </xsd:element>
  </xsd:schema>
  <xsd:schema xmlns:xsd="http://www.w3.org/2001/XMLSchema" xmlns:xs="http://www.w3.org/2001/XMLSchema" xmlns:dms="http://schemas.microsoft.com/office/2006/documentManagement/types" xmlns:pc="http://schemas.microsoft.com/office/infopath/2007/PartnerControls" targetNamespace="aaee634e-4ff8-41a4-8aa8-7a2a5521467d" elementFormDefault="qualified">
    <xsd:import namespace="http://schemas.microsoft.com/office/2006/documentManagement/types"/>
    <xsd:import namespace="http://schemas.microsoft.com/office/infopath/2007/PartnerControls"/>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ServiceDateTaken" ma:index="39" nillable="true" ma:displayName="MediaServiceDateTaken" ma:hidden="true" ma:internalName="MediaServiceDateTaken" ma:readOnly="true">
      <xsd:simpleType>
        <xsd:restriction base="dms:Text"/>
      </xsd:simpleType>
    </xsd:element>
    <xsd:element name="MediaServiceAutoTags" ma:index="40" nillable="true" ma:displayName="Tags" ma:internalName="MediaServiceAutoTags" ma:readOnly="true">
      <xsd:simpleType>
        <xsd:restriction base="dms:Text"/>
      </xsd:simpleType>
    </xsd:element>
    <xsd:element name="MediaServiceGenerationTime" ma:index="41" nillable="true" ma:displayName="MediaServiceGenerationTime" ma:hidden="true" ma:internalName="MediaServiceGenerationTime" ma:readOnly="true">
      <xsd:simpleType>
        <xsd:restriction base="dms:Text"/>
      </xsd:simpleType>
    </xsd:element>
    <xsd:element name="MediaServiceEventHashCode" ma:index="42" nillable="true" ma:displayName="MediaServiceEventHashCode" ma:hidden="true" ma:internalName="MediaServiceEventHashCode" ma:readOnly="true">
      <xsd:simpleType>
        <xsd:restriction base="dms:Text"/>
      </xsd:simpleType>
    </xsd:element>
    <xsd:element name="MediaServiceLocation" ma:index="4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ee7db1-39a9-4d63-99d6-c12ee98d8bc8" elementFormDefault="qualified">
    <xsd:import namespace="http://schemas.microsoft.com/office/2006/documentManagement/types"/>
    <xsd:import namespace="http://schemas.microsoft.com/office/infopath/2007/PartnerControls"/>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02556D7-3273-46D2-83EF-880402BB521D}">
  <ds:schemaRefs>
    <ds:schemaRef ds:uri="http://schemas.microsoft.com/sharepoint/v3/contenttype/forms"/>
  </ds:schemaRefs>
</ds:datastoreItem>
</file>

<file path=customXml/itemProps2.xml><?xml version="1.0" encoding="utf-8"?>
<ds:datastoreItem xmlns:ds="http://schemas.openxmlformats.org/officeDocument/2006/customXml" ds:itemID="{72F08C2E-009A-4D75-BA57-50ADBFB64978}">
  <ds:schemaRefs>
    <ds:schemaRef ds:uri="http://purl.org/dc/elements/1.1/"/>
    <ds:schemaRef ds:uri="http://purl.org/dc/dcmitype/"/>
    <ds:schemaRef ds:uri="aaee634e-4ff8-41a4-8aa8-7a2a5521467d"/>
    <ds:schemaRef ds:uri="http://purl.org/dc/terms/"/>
    <ds:schemaRef ds:uri="http://schemas.microsoft.com/office/infopath/2007/PartnerControls"/>
    <ds:schemaRef ds:uri="http://schemas.openxmlformats.org/package/2006/metadata/core-properties"/>
    <ds:schemaRef ds:uri="fbee7db1-39a9-4d63-99d6-c12ee98d8bc8"/>
    <ds:schemaRef ds:uri="97c71325-65b9-4833-a997-d05ab51373a7"/>
    <ds:schemaRef ds:uri="http://www.w3.org/XML/1998/namespace"/>
    <ds:schemaRef ds:uri="cc3c8d93-9f70-45a7-929c-bc05fca4adc9"/>
    <ds:schemaRef ds:uri="http://schemas.microsoft.com/office/2006/documentManagement/types"/>
    <ds:schemaRef ds:uri="4f9c820c-e7e2-444d-97ee-45f2b3485c1d"/>
    <ds:schemaRef ds:uri="9da600a7-27fd-43ea-8cef-f13e8bd432ff"/>
    <ds:schemaRef ds:uri="http://schemas.microsoft.com/office/2006/metadata/properties"/>
  </ds:schemaRefs>
</ds:datastoreItem>
</file>

<file path=customXml/itemProps3.xml><?xml version="1.0" encoding="utf-8"?>
<ds:datastoreItem xmlns:ds="http://schemas.openxmlformats.org/officeDocument/2006/customXml" ds:itemID="{0CED5E89-E6DB-4997-90F0-BB9E93EFA2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a600a7-27fd-43ea-8cef-f13e8bd432ff"/>
    <ds:schemaRef ds:uri="4f9c820c-e7e2-444d-97ee-45f2b3485c1d"/>
    <ds:schemaRef ds:uri="97c71325-65b9-4833-a997-d05ab51373a7"/>
    <ds:schemaRef ds:uri="cc3c8d93-9f70-45a7-929c-bc05fca4adc9"/>
    <ds:schemaRef ds:uri="aaee634e-4ff8-41a4-8aa8-7a2a5521467d"/>
    <ds:schemaRef ds:uri="fbee7db1-39a9-4d63-99d6-c12ee98d8b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EA0B29F-6CDD-4D02-9402-5D4B70C2AAA2}">
  <ds:schemaRefs>
    <ds:schemaRef ds:uri="http://schemas.microsoft.com/sharepoint/events"/>
  </ds:schemaRefs>
</ds:datastoreItem>
</file>

<file path=docMetadata/LabelInfo.xml><?xml version="1.0" encoding="utf-8"?>
<clbl:labelList xmlns:clbl="http://schemas.microsoft.com/office/2020/mipLabelMetadata">
  <clbl:label id="{49120112-3b8d-44c1-bb35-0efb412dca25}" enabled="1" method="Privileged" siteId="{9e9b3020-3d38-48a6-9064-373bc7b156d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Landing Page</vt:lpstr>
      <vt:lpstr>AHM - Shared Equity</vt:lpstr>
      <vt:lpstr>Preliminary Feasibility</vt:lpstr>
      <vt:lpstr>Detailed Feasibility Inputs</vt:lpstr>
      <vt:lpstr>Detailed Feasibility</vt:lpstr>
      <vt:lpstr>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Hayley Brownlie</dc:creator>
  <cp:keywords/>
  <dc:description/>
  <cp:lastModifiedBy>Nigel Hewitson</cp:lastModifiedBy>
  <cp:revision/>
  <dcterms:created xsi:type="dcterms:W3CDTF">2021-09-23T05:40:11Z</dcterms:created>
  <dcterms:modified xsi:type="dcterms:W3CDTF">2022-02-09T23:35:31Z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0x010100CB728DF4B70B9149A7A586315079ED5F0005643020E4C92840B73D9A168B62E763</vt:lpwstr>
  </property>
  <property fmtid="{D5CDD505-2E9C-101B-9397-08002B2CF9AE}" pid="3" name="_dlc_DocIdItemGuid">
    <vt:lpwstr>751bbbad-365b-45d6-9da9-c9d6946f8a3d</vt:lpwstr>
  </property>
  <property fmtid="{D5CDD505-2E9C-101B-9397-08002B2CF9AE}" pid="4" name="_dlc_DocId">
    <vt:lpwstr>AHFJKMD5QY6Y-1969832304-1837</vt:lpwstr>
  </property>
  <property fmtid="{D5CDD505-2E9C-101B-9397-08002B2CF9AE}" pid="5" name="_dlc_DocIdUrl">
    <vt:lpwstr>https://mhud.sharepoint.com/sites/team2019627215844/_layouts/15/DocIdRedir.aspx?ID=AHFJKMD5QY6Y-1969832304-1837, AHFJKMD5QY6Y-1969832304-1837</vt:lpwstr>
  </property>
</Properties>
</file>